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 filterPrivacy="1" codeName="ThisWorkbook"/>
  <xr:revisionPtr revIDLastSave="0" documentId="13_ncr:11_{04A69942-0F1C-4FCB-B5B9-F745CB2424D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דוח מסכם" sheetId="7" r:id="rId1"/>
    <sheet name="תחזית תזרים מזומנים" sheetId="3" r:id="rId2"/>
    <sheet name="תזרים מזומנים בפועל" sheetId="4" r:id="rId3"/>
    <sheet name="קלט תנועות תשלום" sheetId="2" r:id="rId4"/>
    <sheet name="קלט תנועות תקבול" sheetId="6" r:id="rId5"/>
  </sheets>
  <definedNames>
    <definedName name="FiscalYearStartDate" localSheetId="2">'תזרים מזומנים בפועל'!$B$5</definedName>
    <definedName name="FiscalYearStartDate" localSheetId="1">'תחזית תזרים מזומנים'!$B$6</definedName>
    <definedName name="FiscalYearStartDate">#REF!</definedName>
    <definedName name="_xlnm.Print_Area" localSheetId="2">'תזרים מזומנים בפועל'!$A$1:$S$36</definedName>
    <definedName name="_xlnm.Print_Area" localSheetId="1">'תחזית תזרים מזומנים'!$A$1:$S$31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8" i="6" l="1"/>
  <c r="L27" i="6"/>
  <c r="E12" i="4"/>
  <c r="G4" i="4"/>
  <c r="H4" i="4" s="1"/>
  <c r="I4" i="4" s="1"/>
  <c r="J4" i="4" s="1"/>
  <c r="K4" i="4" s="1"/>
  <c r="L4" i="4" s="1"/>
  <c r="M4" i="4" s="1"/>
  <c r="N4" i="4" s="1"/>
  <c r="O4" i="4" s="1"/>
  <c r="P4" i="4" s="1"/>
  <c r="F4" i="4"/>
  <c r="E4" i="4"/>
  <c r="C6" i="7"/>
  <c r="C5" i="7"/>
  <c r="E5" i="3"/>
  <c r="F5" i="3" s="1"/>
  <c r="G5" i="3" s="1"/>
  <c r="H5" i="3" s="1"/>
  <c r="I5" i="3" s="1"/>
  <c r="J5" i="3" s="1"/>
  <c r="K5" i="3" s="1"/>
  <c r="L5" i="3" s="1"/>
  <c r="M5" i="3" s="1"/>
  <c r="N5" i="3" s="1"/>
  <c r="O5" i="3" s="1"/>
  <c r="P5" i="3" s="1"/>
  <c r="D15" i="4"/>
  <c r="D16" i="4" s="1"/>
  <c r="D15" i="3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H149" i="6"/>
  <c r="H150" i="6"/>
  <c r="H151" i="6"/>
  <c r="H152" i="6"/>
  <c r="H153" i="6"/>
  <c r="H154" i="6"/>
  <c r="H155" i="6"/>
  <c r="H156" i="6"/>
  <c r="H157" i="6"/>
  <c r="H158" i="6"/>
  <c r="H159" i="6"/>
  <c r="H160" i="6"/>
  <c r="H161" i="6"/>
  <c r="H162" i="6"/>
  <c r="H163" i="6"/>
  <c r="H164" i="6"/>
  <c r="H165" i="6"/>
  <c r="H166" i="6"/>
  <c r="H167" i="6"/>
  <c r="H168" i="6"/>
  <c r="H169" i="6"/>
  <c r="H170" i="6"/>
  <c r="H171" i="6"/>
  <c r="H172" i="6"/>
  <c r="H173" i="6"/>
  <c r="H174" i="6"/>
  <c r="H175" i="6"/>
  <c r="H176" i="6"/>
  <c r="H177" i="6"/>
  <c r="H178" i="6"/>
  <c r="H179" i="6"/>
  <c r="H180" i="6"/>
  <c r="H181" i="6"/>
  <c r="H182" i="6"/>
  <c r="H183" i="6"/>
  <c r="H184" i="6"/>
  <c r="H185" i="6"/>
  <c r="H186" i="6"/>
  <c r="H187" i="6"/>
  <c r="H188" i="6"/>
  <c r="H189" i="6"/>
  <c r="H190" i="6"/>
  <c r="H191" i="6"/>
  <c r="H192" i="6"/>
  <c r="H193" i="6"/>
  <c r="H194" i="6"/>
  <c r="H195" i="6"/>
  <c r="H196" i="6"/>
  <c r="H197" i="6"/>
  <c r="H198" i="6"/>
  <c r="H199" i="6"/>
  <c r="H200" i="6"/>
  <c r="H201" i="6"/>
  <c r="H202" i="6"/>
  <c r="H203" i="6"/>
  <c r="H204" i="6"/>
  <c r="H205" i="6"/>
  <c r="H206" i="6"/>
  <c r="H207" i="6"/>
  <c r="H208" i="6"/>
  <c r="H209" i="6"/>
  <c r="H210" i="6"/>
  <c r="H211" i="6"/>
  <c r="H212" i="6"/>
  <c r="H213" i="6"/>
  <c r="H214" i="6"/>
  <c r="H215" i="6"/>
  <c r="H216" i="6"/>
  <c r="H217" i="6"/>
  <c r="H218" i="6"/>
  <c r="H219" i="6"/>
  <c r="H220" i="6"/>
  <c r="H221" i="6"/>
  <c r="H222" i="6"/>
  <c r="H223" i="6"/>
  <c r="H224" i="6"/>
  <c r="H225" i="6"/>
  <c r="H226" i="6"/>
  <c r="H227" i="6"/>
  <c r="H228" i="6"/>
  <c r="H229" i="6"/>
  <c r="H230" i="6"/>
  <c r="H231" i="6"/>
  <c r="H232" i="6"/>
  <c r="H233" i="6"/>
  <c r="H234" i="6"/>
  <c r="H235" i="6"/>
  <c r="H236" i="6"/>
  <c r="H237" i="6"/>
  <c r="H238" i="6"/>
  <c r="H239" i="6"/>
  <c r="H240" i="6"/>
  <c r="H241" i="6"/>
  <c r="H242" i="6"/>
  <c r="H243" i="6"/>
  <c r="H244" i="6"/>
  <c r="H245" i="6"/>
  <c r="H246" i="6"/>
  <c r="H247" i="6"/>
  <c r="H248" i="6"/>
  <c r="H249" i="6"/>
  <c r="H250" i="6"/>
  <c r="H251" i="6"/>
  <c r="H252" i="6"/>
  <c r="H253" i="6"/>
  <c r="H254" i="6"/>
  <c r="H255" i="6"/>
  <c r="H256" i="6"/>
  <c r="H257" i="6"/>
  <c r="H258" i="6"/>
  <c r="H259" i="6"/>
  <c r="H260" i="6"/>
  <c r="H261" i="6"/>
  <c r="H262" i="6"/>
  <c r="H263" i="6"/>
  <c r="H264" i="6"/>
  <c r="H265" i="6"/>
  <c r="H266" i="6"/>
  <c r="H267" i="6"/>
  <c r="H268" i="6"/>
  <c r="H269" i="6"/>
  <c r="H270" i="6"/>
  <c r="H271" i="6"/>
  <c r="H272" i="6"/>
  <c r="H273" i="6"/>
  <c r="H274" i="6"/>
  <c r="H275" i="6"/>
  <c r="H276" i="6"/>
  <c r="H277" i="6"/>
  <c r="H278" i="6"/>
  <c r="H279" i="6"/>
  <c r="H280" i="6"/>
  <c r="H281" i="6"/>
  <c r="H282" i="6"/>
  <c r="H283" i="6"/>
  <c r="H284" i="6"/>
  <c r="H285" i="6"/>
  <c r="H286" i="6"/>
  <c r="H287" i="6"/>
  <c r="H288" i="6"/>
  <c r="H289" i="6"/>
  <c r="H290" i="6"/>
  <c r="H291" i="6"/>
  <c r="H292" i="6"/>
  <c r="H293" i="6"/>
  <c r="H294" i="6"/>
  <c r="H295" i="6"/>
  <c r="H296" i="6"/>
  <c r="H297" i="6"/>
  <c r="H298" i="6"/>
  <c r="H299" i="6"/>
  <c r="H300" i="6"/>
  <c r="H301" i="6"/>
  <c r="H302" i="6"/>
  <c r="H303" i="6"/>
  <c r="H304" i="6"/>
  <c r="H305" i="6"/>
  <c r="H306" i="6"/>
  <c r="H307" i="6"/>
  <c r="H308" i="6"/>
  <c r="H309" i="6"/>
  <c r="H310" i="6"/>
  <c r="H311" i="6"/>
  <c r="H312" i="6"/>
  <c r="H313" i="6"/>
  <c r="H314" i="6"/>
  <c r="H315" i="6"/>
  <c r="H316" i="6"/>
  <c r="H317" i="6"/>
  <c r="H318" i="6"/>
  <c r="H319" i="6"/>
  <c r="H320" i="6"/>
  <c r="H321" i="6"/>
  <c r="H322" i="6"/>
  <c r="H323" i="6"/>
  <c r="H324" i="6"/>
  <c r="H325" i="6"/>
  <c r="H326" i="6"/>
  <c r="H327" i="6"/>
  <c r="H328" i="6"/>
  <c r="H329" i="6"/>
  <c r="H330" i="6"/>
  <c r="H331" i="6"/>
  <c r="H332" i="6"/>
  <c r="H333" i="6"/>
  <c r="H334" i="6"/>
  <c r="H335" i="6"/>
  <c r="H336" i="6"/>
  <c r="H337" i="6"/>
  <c r="H338" i="6"/>
  <c r="H339" i="6"/>
  <c r="H340" i="6"/>
  <c r="H341" i="6"/>
  <c r="H342" i="6"/>
  <c r="H343" i="6"/>
  <c r="H344" i="6"/>
  <c r="H345" i="6"/>
  <c r="B5" i="4"/>
  <c r="K3" i="4" s="1"/>
  <c r="E29" i="4"/>
  <c r="F29" i="4"/>
  <c r="G29" i="4"/>
  <c r="H29" i="4"/>
  <c r="I29" i="4"/>
  <c r="J29" i="4"/>
  <c r="K29" i="4"/>
  <c r="L29" i="4"/>
  <c r="M29" i="4"/>
  <c r="N29" i="4"/>
  <c r="O29" i="4"/>
  <c r="P29" i="4"/>
  <c r="E30" i="4"/>
  <c r="F30" i="4"/>
  <c r="G30" i="4"/>
  <c r="H30" i="4"/>
  <c r="I30" i="4"/>
  <c r="J30" i="4"/>
  <c r="K30" i="4"/>
  <c r="L30" i="4"/>
  <c r="M30" i="4"/>
  <c r="N30" i="4"/>
  <c r="O30" i="4"/>
  <c r="P30" i="4"/>
  <c r="F28" i="4"/>
  <c r="G28" i="4"/>
  <c r="H28" i="4"/>
  <c r="I28" i="4"/>
  <c r="J28" i="4"/>
  <c r="K28" i="4"/>
  <c r="L28" i="4"/>
  <c r="M28" i="4"/>
  <c r="N28" i="4"/>
  <c r="O28" i="4"/>
  <c r="P28" i="4"/>
  <c r="E28" i="4"/>
  <c r="E22" i="4"/>
  <c r="F22" i="4"/>
  <c r="G22" i="4"/>
  <c r="H22" i="4"/>
  <c r="I22" i="4"/>
  <c r="J22" i="4"/>
  <c r="K22" i="4"/>
  <c r="L22" i="4"/>
  <c r="M22" i="4"/>
  <c r="N22" i="4"/>
  <c r="O22" i="4"/>
  <c r="P22" i="4"/>
  <c r="E20" i="4"/>
  <c r="F20" i="4"/>
  <c r="G20" i="4"/>
  <c r="H20" i="4"/>
  <c r="I20" i="4"/>
  <c r="J20" i="4"/>
  <c r="K20" i="4"/>
  <c r="L20" i="4"/>
  <c r="M20" i="4"/>
  <c r="N20" i="4"/>
  <c r="O20" i="4"/>
  <c r="P20" i="4"/>
  <c r="E21" i="4"/>
  <c r="F21" i="4"/>
  <c r="G21" i="4"/>
  <c r="H21" i="4"/>
  <c r="I21" i="4"/>
  <c r="J21" i="4"/>
  <c r="K21" i="4"/>
  <c r="L21" i="4"/>
  <c r="M21" i="4"/>
  <c r="N21" i="4"/>
  <c r="O21" i="4"/>
  <c r="P21" i="4"/>
  <c r="F19" i="4"/>
  <c r="G19" i="4"/>
  <c r="G23" i="4" s="1"/>
  <c r="H19" i="4"/>
  <c r="H34" i="4" s="1"/>
  <c r="I19" i="4"/>
  <c r="J19" i="4"/>
  <c r="K19" i="4"/>
  <c r="L19" i="4"/>
  <c r="M19" i="4"/>
  <c r="N19" i="4"/>
  <c r="O19" i="4"/>
  <c r="P19" i="4"/>
  <c r="E19" i="4"/>
  <c r="E34" i="4" s="1"/>
  <c r="G11" i="4"/>
  <c r="F11" i="4"/>
  <c r="H11" i="4"/>
  <c r="I11" i="4"/>
  <c r="J11" i="4"/>
  <c r="K11" i="4"/>
  <c r="L11" i="4"/>
  <c r="M11" i="4"/>
  <c r="N11" i="4"/>
  <c r="O11" i="4"/>
  <c r="P11" i="4"/>
  <c r="E11" i="4"/>
  <c r="G10" i="4"/>
  <c r="F10" i="4"/>
  <c r="H10" i="4"/>
  <c r="I10" i="4"/>
  <c r="J10" i="4"/>
  <c r="K10" i="4"/>
  <c r="L10" i="4"/>
  <c r="M10" i="4"/>
  <c r="N10" i="4"/>
  <c r="O10" i="4"/>
  <c r="P10" i="4"/>
  <c r="E10" i="4"/>
  <c r="F15" i="4"/>
  <c r="G15" i="4"/>
  <c r="H15" i="4"/>
  <c r="I15" i="4"/>
  <c r="J15" i="4"/>
  <c r="K15" i="4"/>
  <c r="L15" i="4"/>
  <c r="M15" i="4"/>
  <c r="N15" i="4"/>
  <c r="O15" i="4"/>
  <c r="P15" i="4"/>
  <c r="E15" i="4"/>
  <c r="J13" i="4"/>
  <c r="H2" i="6"/>
  <c r="H2" i="2"/>
  <c r="D34" i="4"/>
  <c r="K31" i="4"/>
  <c r="J31" i="4"/>
  <c r="I31" i="4"/>
  <c r="H31" i="4"/>
  <c r="G31" i="4"/>
  <c r="F31" i="4"/>
  <c r="D31" i="4"/>
  <c r="D23" i="4"/>
  <c r="O3" i="4"/>
  <c r="N3" i="4"/>
  <c r="M3" i="4"/>
  <c r="L3" i="4"/>
  <c r="E29" i="3"/>
  <c r="E22" i="3"/>
  <c r="E24" i="4" s="1"/>
  <c r="H13" i="3" a="1"/>
  <c r="H13" i="3" s="1"/>
  <c r="H13" i="4" s="1"/>
  <c r="I13" i="3" a="1"/>
  <c r="I13" i="3" s="1"/>
  <c r="I13" i="4" s="1"/>
  <c r="J13" i="3" a="1"/>
  <c r="J13" i="3" s="1"/>
  <c r="K13" i="3" a="1"/>
  <c r="K13" i="3" s="1"/>
  <c r="K13" i="4" s="1"/>
  <c r="L13" i="3" a="1"/>
  <c r="L13" i="3" s="1"/>
  <c r="L13" i="4" s="1"/>
  <c r="M13" i="3" a="1"/>
  <c r="M13" i="3" s="1"/>
  <c r="M13" i="4" s="1"/>
  <c r="N13" i="3" a="1"/>
  <c r="N13" i="3" s="1"/>
  <c r="N13" i="4" s="1"/>
  <c r="O13" i="3" a="1"/>
  <c r="O13" i="3" s="1"/>
  <c r="O13" i="4" s="1"/>
  <c r="G13" i="3" a="1"/>
  <c r="G13" i="3" s="1"/>
  <c r="G13" i="4" s="1"/>
  <c r="F13" i="3" a="1"/>
  <c r="F13" i="3" s="1"/>
  <c r="F13" i="4" s="1"/>
  <c r="E13" i="3" a="1"/>
  <c r="E13" i="3" s="1"/>
  <c r="E13" i="4" s="1"/>
  <c r="P12" i="3"/>
  <c r="P13" i="3" s="1" a="1"/>
  <c r="P13" i="3" s="1"/>
  <c r="P13" i="4" s="1"/>
  <c r="P29" i="3"/>
  <c r="O29" i="3"/>
  <c r="N29" i="3"/>
  <c r="M29" i="3"/>
  <c r="L29" i="3"/>
  <c r="K29" i="3"/>
  <c r="J29" i="3"/>
  <c r="I29" i="3"/>
  <c r="H29" i="3"/>
  <c r="G29" i="3"/>
  <c r="F29" i="3"/>
  <c r="D29" i="3"/>
  <c r="P28" i="3"/>
  <c r="P32" i="4" s="1"/>
  <c r="O28" i="3"/>
  <c r="O32" i="4" s="1"/>
  <c r="N28" i="3"/>
  <c r="N32" i="4" s="1"/>
  <c r="M28" i="3"/>
  <c r="M32" i="4" s="1"/>
  <c r="L28" i="3"/>
  <c r="L32" i="4" s="1"/>
  <c r="K28" i="3"/>
  <c r="K32" i="4" s="1"/>
  <c r="J28" i="3"/>
  <c r="J32" i="4" s="1"/>
  <c r="I28" i="3"/>
  <c r="I32" i="4" s="1"/>
  <c r="H28" i="3"/>
  <c r="H32" i="4" s="1"/>
  <c r="G28" i="3"/>
  <c r="G32" i="4" s="1"/>
  <c r="F28" i="3"/>
  <c r="F32" i="4" s="1"/>
  <c r="E28" i="3"/>
  <c r="E32" i="4" s="1"/>
  <c r="D28" i="3"/>
  <c r="R27" i="3"/>
  <c r="R26" i="3"/>
  <c r="R25" i="3"/>
  <c r="P22" i="3"/>
  <c r="P24" i="4" s="1"/>
  <c r="O22" i="3"/>
  <c r="O24" i="4" s="1"/>
  <c r="N22" i="3"/>
  <c r="N24" i="4" s="1"/>
  <c r="M22" i="3"/>
  <c r="M24" i="4" s="1"/>
  <c r="L22" i="3"/>
  <c r="L24" i="4" s="1"/>
  <c r="K22" i="3"/>
  <c r="K24" i="4" s="1"/>
  <c r="J22" i="3"/>
  <c r="J24" i="4" s="1"/>
  <c r="I22" i="3"/>
  <c r="I24" i="4" s="1"/>
  <c r="H22" i="3"/>
  <c r="H24" i="4" s="1"/>
  <c r="G22" i="3"/>
  <c r="G24" i="4" s="1"/>
  <c r="F22" i="3"/>
  <c r="F24" i="4" s="1"/>
  <c r="D22" i="3"/>
  <c r="R21" i="3"/>
  <c r="R20" i="3"/>
  <c r="R19" i="3"/>
  <c r="R18" i="3"/>
  <c r="E6" i="3"/>
  <c r="F6" i="3" s="1"/>
  <c r="G6" i="3" s="1"/>
  <c r="H6" i="3" s="1"/>
  <c r="I6" i="3" s="1"/>
  <c r="J6" i="3" s="1"/>
  <c r="K6" i="3" s="1"/>
  <c r="L6" i="3" s="1"/>
  <c r="M6" i="3" s="1"/>
  <c r="N6" i="3" s="1"/>
  <c r="O6" i="3" s="1"/>
  <c r="P6" i="3" s="1"/>
  <c r="P4" i="3"/>
  <c r="O4" i="3"/>
  <c r="N4" i="3"/>
  <c r="M4" i="3"/>
  <c r="L4" i="3"/>
  <c r="K4" i="3"/>
  <c r="J4" i="3"/>
  <c r="I4" i="3"/>
  <c r="H4" i="3"/>
  <c r="G4" i="3"/>
  <c r="F4" i="3"/>
  <c r="E4" i="3"/>
  <c r="B16" i="7" l="1"/>
  <c r="C13" i="7"/>
  <c r="B12" i="7"/>
  <c r="B13" i="7"/>
  <c r="C16" i="7"/>
  <c r="C17" i="7"/>
  <c r="B17" i="7"/>
  <c r="B18" i="7" s="1"/>
  <c r="O31" i="4"/>
  <c r="O33" i="4" s="1"/>
  <c r="J33" i="4"/>
  <c r="G25" i="4"/>
  <c r="I33" i="4"/>
  <c r="F33" i="4"/>
  <c r="G33" i="4"/>
  <c r="H33" i="4"/>
  <c r="K33" i="4"/>
  <c r="M31" i="4"/>
  <c r="M33" i="4" s="1"/>
  <c r="L31" i="4"/>
  <c r="L33" i="4" s="1"/>
  <c r="G3" i="4"/>
  <c r="P3" i="4"/>
  <c r="E3" i="4"/>
  <c r="E5" i="4"/>
  <c r="F5" i="4" s="1"/>
  <c r="G5" i="4" s="1"/>
  <c r="H5" i="4" s="1"/>
  <c r="I5" i="4" s="1"/>
  <c r="J5" i="4" s="1"/>
  <c r="K5" i="4" s="1"/>
  <c r="L5" i="4" s="1"/>
  <c r="M5" i="4" s="1"/>
  <c r="N5" i="4" s="1"/>
  <c r="O5" i="4" s="1"/>
  <c r="P5" i="4" s="1"/>
  <c r="F3" i="4"/>
  <c r="H3" i="4"/>
  <c r="I3" i="4"/>
  <c r="J3" i="4"/>
  <c r="R32" i="4"/>
  <c r="R24" i="4"/>
  <c r="N31" i="4"/>
  <c r="N33" i="4" s="1"/>
  <c r="R21" i="4"/>
  <c r="R20" i="4"/>
  <c r="R28" i="4"/>
  <c r="R30" i="4"/>
  <c r="R29" i="4"/>
  <c r="R22" i="4"/>
  <c r="P31" i="4"/>
  <c r="P33" i="4" s="1"/>
  <c r="E31" i="4"/>
  <c r="E33" i="4" s="1"/>
  <c r="K34" i="4"/>
  <c r="K23" i="4"/>
  <c r="K25" i="4" s="1"/>
  <c r="I34" i="4"/>
  <c r="I23" i="4"/>
  <c r="I25" i="4" s="1"/>
  <c r="G34" i="4"/>
  <c r="H23" i="4"/>
  <c r="H25" i="4" s="1"/>
  <c r="F34" i="4"/>
  <c r="F23" i="4"/>
  <c r="F25" i="4" s="1"/>
  <c r="G12" i="4"/>
  <c r="G14" i="4" s="1"/>
  <c r="I12" i="4"/>
  <c r="I14" i="4" s="1"/>
  <c r="F12" i="4"/>
  <c r="F14" i="4" s="1"/>
  <c r="R11" i="4"/>
  <c r="E23" i="4"/>
  <c r="E25" i="4" s="1"/>
  <c r="R15" i="4"/>
  <c r="D36" i="4"/>
  <c r="E7" i="4" s="1"/>
  <c r="C10" i="7" s="1"/>
  <c r="D31" i="3"/>
  <c r="E8" i="3" s="1"/>
  <c r="R28" i="3"/>
  <c r="R13" i="3"/>
  <c r="R22" i="3"/>
  <c r="R29" i="3"/>
  <c r="E15" i="3" l="1"/>
  <c r="E31" i="3" s="1"/>
  <c r="F8" i="3" s="1"/>
  <c r="B10" i="7"/>
  <c r="C18" i="7"/>
  <c r="B14" i="7"/>
  <c r="R31" i="4"/>
  <c r="E14" i="4"/>
  <c r="E16" i="4"/>
  <c r="E36" i="4" s="1"/>
  <c r="F7" i="4" s="1"/>
  <c r="N34" i="4"/>
  <c r="N23" i="4"/>
  <c r="N25" i="4" s="1"/>
  <c r="J34" i="4"/>
  <c r="J23" i="4"/>
  <c r="J25" i="4" s="1"/>
  <c r="L34" i="4"/>
  <c r="L23" i="4"/>
  <c r="L25" i="4" s="1"/>
  <c r="H12" i="4"/>
  <c r="J12" i="4"/>
  <c r="J14" i="4" s="1"/>
  <c r="L12" i="4"/>
  <c r="L14" i="4" s="1"/>
  <c r="O12" i="4"/>
  <c r="O14" i="4" s="1"/>
  <c r="K12" i="4"/>
  <c r="K14" i="4" s="1"/>
  <c r="B20" i="7" l="1"/>
  <c r="H14" i="4"/>
  <c r="C12" i="7"/>
  <c r="C14" i="7" s="1"/>
  <c r="C20" i="7" s="1"/>
  <c r="F15" i="3"/>
  <c r="F31" i="3" s="1"/>
  <c r="G8" i="3" s="1"/>
  <c r="G15" i="3" s="1"/>
  <c r="F16" i="4"/>
  <c r="F36" i="4" s="1"/>
  <c r="G7" i="4" s="1"/>
  <c r="G16" i="4" s="1"/>
  <c r="G36" i="4" s="1"/>
  <c r="H7" i="4" s="1"/>
  <c r="M34" i="4"/>
  <c r="M23" i="4"/>
  <c r="M25" i="4" s="1"/>
  <c r="O34" i="4"/>
  <c r="O23" i="4"/>
  <c r="O25" i="4" s="1"/>
  <c r="M12" i="4"/>
  <c r="M14" i="4" s="1"/>
  <c r="P12" i="4"/>
  <c r="P14" i="4" s="1"/>
  <c r="N12" i="4"/>
  <c r="N14" i="4" s="1"/>
  <c r="H16" i="4" l="1"/>
  <c r="H36" i="4" s="1"/>
  <c r="I7" i="4" s="1"/>
  <c r="P23" i="4"/>
  <c r="P25" i="4" s="1"/>
  <c r="R25" i="4" s="1"/>
  <c r="P34" i="4"/>
  <c r="R19" i="4"/>
  <c r="R14" i="4"/>
  <c r="R12" i="4"/>
  <c r="R10" i="4"/>
  <c r="G31" i="3"/>
  <c r="H8" i="3" s="1"/>
  <c r="H15" i="3" l="1"/>
  <c r="H31" i="3" s="1"/>
  <c r="I8" i="3" s="1"/>
  <c r="I16" i="4"/>
  <c r="I36" i="4" s="1"/>
  <c r="J7" i="4" s="1"/>
  <c r="J16" i="4" s="1"/>
  <c r="J36" i="4" s="1"/>
  <c r="K7" i="4" s="1"/>
  <c r="R34" i="4"/>
  <c r="R23" i="4"/>
  <c r="I15" i="3" l="1"/>
  <c r="I31" i="3" s="1"/>
  <c r="J8" i="3" s="1"/>
  <c r="J15" i="3" s="1"/>
  <c r="J31" i="3" s="1"/>
  <c r="K8" i="3" s="1"/>
  <c r="K15" i="3" s="1"/>
  <c r="K31" i="3" s="1"/>
  <c r="L8" i="3" s="1"/>
  <c r="L15" i="3" s="1"/>
  <c r="K16" i="4"/>
  <c r="K36" i="4" s="1"/>
  <c r="L7" i="4" s="1"/>
  <c r="L16" i="4" l="1"/>
  <c r="L36" i="4" s="1"/>
  <c r="M7" i="4" s="1"/>
  <c r="M16" i="4" s="1"/>
  <c r="M36" i="4" s="1"/>
  <c r="N7" i="4" s="1"/>
  <c r="L31" i="3"/>
  <c r="M8" i="3" s="1"/>
  <c r="M15" i="3" s="1"/>
  <c r="N16" i="4" l="1"/>
  <c r="N36" i="4" s="1"/>
  <c r="O7" i="4" s="1"/>
  <c r="M31" i="3"/>
  <c r="N8" i="3" s="1"/>
  <c r="N15" i="3" s="1"/>
  <c r="O16" i="4" l="1"/>
  <c r="O36" i="4" s="1"/>
  <c r="P7" i="4" s="1"/>
  <c r="N31" i="3"/>
  <c r="O8" i="3" s="1"/>
  <c r="O15" i="3" s="1"/>
  <c r="R7" i="4" l="1"/>
  <c r="P16" i="4"/>
  <c r="O31" i="3"/>
  <c r="P8" i="3" s="1"/>
  <c r="P15" i="3" s="1"/>
  <c r="R8" i="3" l="1"/>
  <c r="R15" i="3" s="1"/>
  <c r="R31" i="3" s="1"/>
  <c r="P31" i="3"/>
  <c r="R13" i="4" l="1"/>
  <c r="R36" i="4" s="1"/>
  <c r="P36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<sst xmlns="http://schemas.openxmlformats.org/spreadsheetml/2006/main" count="110" uniqueCount="69">
  <si>
    <t>EST</t>
  </si>
  <si>
    <t>תחילת השנה הפיסקלית:</t>
  </si>
  <si>
    <t>(קדם) הקמה</t>
  </si>
  <si>
    <t>סה"כ</t>
  </si>
  <si>
    <t>הערכת פריט</t>
  </si>
  <si>
    <t>מכירות במזומן</t>
  </si>
  <si>
    <t>סה"כ מזומן זמין (לפני הוצאת מזומן)</t>
  </si>
  <si>
    <t>פרסום</t>
  </si>
  <si>
    <t>תשלום קרן הלוואה</t>
  </si>
  <si>
    <t>משיכת בעלים</t>
  </si>
  <si>
    <t>יתרות בנקים וקופות</t>
  </si>
  <si>
    <t>פילוח תקבולים שנתי</t>
  </si>
  <si>
    <t>תחזית שנתית תקבולים ממכירות</t>
  </si>
  <si>
    <t>תחזית חודשית תקבולים ממכירות</t>
  </si>
  <si>
    <t>רכישות סחורה</t>
  </si>
  <si>
    <t>הוצאות שכר</t>
  </si>
  <si>
    <t>הוצאות כלליות</t>
  </si>
  <si>
    <t>תשלומים אחרים</t>
  </si>
  <si>
    <t>תחזית שנתית תשלומים (הוצאות)</t>
  </si>
  <si>
    <t>רכוש קבוע</t>
  </si>
  <si>
    <t>סה"כ תחזית תשלומים</t>
  </si>
  <si>
    <t>תחזית יתרת מזומנים</t>
  </si>
  <si>
    <t xml:space="preserve"> תחזית תזרים מזומנים</t>
  </si>
  <si>
    <t>הלוואות</t>
  </si>
  <si>
    <t>תאריך</t>
  </si>
  <si>
    <t>פרטים</t>
  </si>
  <si>
    <t>סכום</t>
  </si>
  <si>
    <t>חשבון הוצאה</t>
  </si>
  <si>
    <t>חשבון נגדי</t>
  </si>
  <si>
    <t>מספר תנועה</t>
  </si>
  <si>
    <t>סיווג תשלום</t>
  </si>
  <si>
    <t>סעיפי סיווג תשלום</t>
  </si>
  <si>
    <t>חודש</t>
  </si>
  <si>
    <t>שורת דוגמה</t>
  </si>
  <si>
    <t>קניות</t>
  </si>
  <si>
    <t>ספק</t>
  </si>
  <si>
    <t>להוספת שורות יש להוסיף מעל שורה זו</t>
  </si>
  <si>
    <t>סעיפי תקבול</t>
  </si>
  <si>
    <t>תקבולים באשראי</t>
  </si>
  <si>
    <t>סיווג תקבול</t>
  </si>
  <si>
    <t>מכירות</t>
  </si>
  <si>
    <t>מכירות באשראי</t>
  </si>
  <si>
    <t>סה"כ תקבולים ממכירות</t>
  </si>
  <si>
    <t>תחזית חודשית תשלומים הוצאות</t>
  </si>
  <si>
    <t>פער מתחזית מכירות</t>
  </si>
  <si>
    <t>פער מתחזית הוצאות</t>
  </si>
  <si>
    <t>סה"כ תשלומים אחרים</t>
  </si>
  <si>
    <t>תחזית חודשית תשלומים אחרים</t>
  </si>
  <si>
    <t>פער מתחזית תשלומים אחרים</t>
  </si>
  <si>
    <t>סה"כ תשלומים</t>
  </si>
  <si>
    <t xml:space="preserve"> יתרת מזומנים</t>
  </si>
  <si>
    <t>קופה</t>
  </si>
  <si>
    <t>תקבולים</t>
  </si>
  <si>
    <t>תשלומים (הוצאות)</t>
  </si>
  <si>
    <t>דוח תזרים מזומנים</t>
  </si>
  <si>
    <t>דוח מסכם תזרים מזומנים</t>
  </si>
  <si>
    <t>מחודש</t>
  </si>
  <si>
    <t>עד חודש</t>
  </si>
  <si>
    <t>ינו</t>
  </si>
  <si>
    <t>יתרת פתיחה מזומנים</t>
  </si>
  <si>
    <t>תחזית</t>
  </si>
  <si>
    <t>בפועל</t>
  </si>
  <si>
    <t>תקבולים ממכירות</t>
  </si>
  <si>
    <t>תשלומי הוצאות</t>
  </si>
  <si>
    <t>הלוואות ותקבולים אחרים</t>
  </si>
  <si>
    <t>תזרים עיסקי בנטו</t>
  </si>
  <si>
    <t>מאי</t>
  </si>
  <si>
    <t>יתרה לסוף תקופה</t>
  </si>
  <si>
    <t>תקבול/תשלום אחר בנטו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</si>
</sst>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 * #,##0.00_ ;_ * \-#,##0.00_ ;_ * &quot;-&quot;??_ ;_ @_ "/>
    <numFmt numFmtId="164" formatCode="mmm"/>
    <numFmt numFmtId="165" formatCode="dd"/>
    <numFmt numFmtId="166" formatCode="0_);\-0_)"/>
    <numFmt numFmtId="168" formatCode="_ * #,##0_ ;_ * \-#,##0_ ;_ * &quot;-&quot;??_ ;_ @_ "/>
  </numFmts>
  <fonts count="32" x14ac:knownFonts="1">
    <font>
      <sz val="10"/>
      <color theme="1" tint="0.14996795556505021"/>
      <name val="Franklin Gothic Medium"/>
      <family val="2"/>
      <scheme val="minor"/>
    </font>
    <font>
      <sz val="10"/>
      <color theme="1" tint="0.14999847407452621"/>
      <name val="Franklin Gothic Medium"/>
      <family val="2"/>
      <scheme val="minor"/>
    </font>
    <font>
      <b/>
      <sz val="28"/>
      <color theme="4"/>
      <name val="Franklin Gothic Medium"/>
      <family val="2"/>
      <scheme val="major"/>
    </font>
    <font>
      <sz val="18"/>
      <color theme="1" tint="0.14996795556505021"/>
      <name val="Franklin Gothic Medium"/>
      <family val="2"/>
      <scheme val="major"/>
    </font>
    <font>
      <sz val="11"/>
      <color theme="1" tint="0.14975432599871821"/>
      <name val="Franklin Gothic Medium"/>
      <family val="2"/>
      <scheme val="major"/>
    </font>
    <font>
      <sz val="12"/>
      <color theme="3"/>
      <name val="Franklin Gothic Medium"/>
      <family val="2"/>
      <scheme val="major"/>
    </font>
    <font>
      <sz val="11"/>
      <color theme="1" tint="0.14993743705557422"/>
      <name val="Franklin Gothic Medium"/>
      <family val="2"/>
      <scheme val="major"/>
    </font>
    <font>
      <b/>
      <sz val="28"/>
      <color theme="4"/>
      <name val="Tahoma"/>
      <family val="2"/>
    </font>
    <font>
      <sz val="10"/>
      <color theme="1" tint="0.14996795556505021"/>
      <name val="Tahoma"/>
      <family val="2"/>
    </font>
    <font>
      <b/>
      <sz val="11"/>
      <color theme="4" tint="-0.249977111117893"/>
      <name val="Tahoma"/>
      <family val="2"/>
    </font>
    <font>
      <sz val="14"/>
      <color theme="1" tint="0.14975432599871821"/>
      <name val="Tahoma"/>
      <family val="2"/>
    </font>
    <font>
      <sz val="9"/>
      <color theme="1" tint="0.14999847407452621"/>
      <name val="Tahoma"/>
      <family val="2"/>
    </font>
    <font>
      <sz val="18"/>
      <color theme="1" tint="0.14996795556505021"/>
      <name val="Tahoma"/>
      <family val="2"/>
    </font>
    <font>
      <b/>
      <sz val="12"/>
      <color theme="1" tint="0.14999847407452621"/>
      <name val="Tahoma"/>
      <family val="2"/>
    </font>
    <font>
      <sz val="10"/>
      <color theme="1" tint="0.14999847407452621"/>
      <name val="Tahoma"/>
      <family val="2"/>
    </font>
    <font>
      <sz val="11"/>
      <color theme="1" tint="0.14975432599871821"/>
      <name val="Tahoma"/>
      <family val="2"/>
    </font>
    <font>
      <sz val="10"/>
      <color theme="1" tint="0.499984740745262"/>
      <name val="Tahoma"/>
      <family val="2"/>
    </font>
    <font>
      <sz val="10"/>
      <color theme="1"/>
      <name val="Tahoma"/>
      <family val="2"/>
    </font>
    <font>
      <sz val="10"/>
      <color theme="1" tint="0.14996795556505021"/>
      <name val="Franklin Gothic Medium"/>
      <family val="2"/>
      <scheme val="minor"/>
    </font>
    <font>
      <sz val="10"/>
      <color theme="4" tint="-0.499984740745262"/>
      <name val="Tahoma"/>
      <family val="2"/>
    </font>
    <font>
      <sz val="11"/>
      <color theme="4" tint="-0.249977111117893"/>
      <name val="Tahoma"/>
      <family val="2"/>
    </font>
    <font>
      <sz val="9"/>
      <color theme="1" tint="0.14996795556505021"/>
      <name val="Tahoma"/>
      <family val="2"/>
    </font>
    <font>
      <sz val="9"/>
      <color theme="1" tint="0.499984740745262"/>
      <name val="Tahoma"/>
      <family val="2"/>
    </font>
    <font>
      <sz val="9"/>
      <color rgb="FFFF0000"/>
      <name val="Tahoma"/>
      <family val="2"/>
    </font>
    <font>
      <sz val="10"/>
      <color theme="0" tint="-0.499984740745262"/>
      <name val="Tahoma"/>
      <family val="2"/>
    </font>
    <font>
      <sz val="10"/>
      <color theme="2" tint="-0.499984740745262"/>
      <name val="Tahoma"/>
      <family val="2"/>
    </font>
    <font>
      <sz val="11"/>
      <color theme="1" tint="0.14996795556505021"/>
      <name val="Tahoma"/>
      <family val="2"/>
    </font>
    <font>
      <sz val="11"/>
      <color theme="2" tint="-9.9978637043366805E-2"/>
      <name val="Tahoma"/>
      <family val="2"/>
    </font>
    <font>
      <b/>
      <sz val="24"/>
      <color theme="4"/>
      <name val="Tahoma"/>
      <family val="2"/>
    </font>
    <font>
      <b/>
      <sz val="10"/>
      <color theme="1" tint="0.499984740745262"/>
      <name val="Tahoma"/>
      <family val="2"/>
    </font>
    <font>
      <b/>
      <u/>
      <sz val="12"/>
      <color theme="1" tint="0.14975432599871821"/>
      <name val="Tahoma"/>
      <family val="2"/>
    </font>
    <font>
      <b/>
      <sz val="11"/>
      <color theme="1" tint="0.14975432599871821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double">
        <color theme="1" tint="0.14996795556505021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thick">
        <color theme="4"/>
      </bottom>
      <diagonal/>
    </border>
    <border>
      <left/>
      <right/>
      <top/>
      <bottom style="thick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theme="0"/>
      </top>
      <bottom style="thin">
        <color theme="0"/>
      </bottom>
      <diagonal/>
    </border>
    <border>
      <left style="dotted">
        <color theme="0" tint="-0.34998626667073579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theme="4" tint="0.39994506668294322"/>
      </bottom>
      <diagonal/>
    </border>
    <border>
      <left/>
      <right style="dotted">
        <color theme="0" tint="-0.34998626667073579"/>
      </right>
      <top/>
      <bottom style="medium">
        <color theme="4" tint="0.39994506668294322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thick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dotted">
        <color theme="0" tint="-0.34998626667073579"/>
      </left>
      <right/>
      <top/>
      <bottom style="medium">
        <color theme="4" tint="0.39994506668294322"/>
      </bottom>
      <diagonal/>
    </border>
    <border>
      <left/>
      <right style="dotted">
        <color theme="0" tint="-0.34998626667073579"/>
      </right>
      <top style="thin">
        <color theme="0"/>
      </top>
      <bottom style="thin">
        <color theme="0"/>
      </bottom>
      <diagonal/>
    </border>
    <border>
      <left/>
      <right style="dotted">
        <color theme="0" tint="-0.34998626667073579"/>
      </right>
      <top style="thin">
        <color theme="0" tint="-0.34998626667073579"/>
      </top>
      <bottom/>
      <diagonal/>
    </border>
    <border>
      <left style="medium">
        <color indexed="64"/>
      </left>
      <right style="dotted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theme="0" tint="-0.34998626667073579"/>
      </right>
      <top/>
      <bottom style="medium">
        <color theme="4" tint="0.39994506668294322"/>
      </bottom>
      <diagonal/>
    </border>
    <border>
      <left/>
      <right style="medium">
        <color indexed="64"/>
      </right>
      <top/>
      <bottom style="medium">
        <color theme="4" tint="0.39994506668294322"/>
      </bottom>
      <diagonal/>
    </border>
    <border>
      <left style="medium">
        <color indexed="64"/>
      </left>
      <right style="dotted">
        <color theme="0" tint="-0.34998626667073579"/>
      </right>
      <top style="thin">
        <color theme="0" tint="-0.34998626667073579"/>
      </top>
      <bottom/>
      <diagonal/>
    </border>
    <border>
      <left/>
      <right style="medium">
        <color indexed="64"/>
      </right>
      <top style="thin">
        <color theme="0" tint="-0.34998626667073579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theme="0" tint="-0.34998626667073579"/>
      </right>
      <top/>
      <bottom style="medium">
        <color indexed="64"/>
      </bottom>
      <diagonal/>
    </border>
    <border>
      <left/>
      <right style="dotted">
        <color theme="0" tint="-0.34998626667073579"/>
      </right>
      <top/>
      <bottom style="medium">
        <color indexed="64"/>
      </bottom>
      <diagonal/>
    </border>
  </borders>
  <cellStyleXfs count="9">
    <xf numFmtId="0" fontId="0" fillId="0" borderId="0">
      <alignment vertical="center"/>
    </xf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6" fontId="1" fillId="3" borderId="9" applyFont="0" applyAlignment="0">
      <alignment vertical="center"/>
    </xf>
    <xf numFmtId="164" fontId="3" fillId="0" borderId="2">
      <alignment horizontal="right" vertical="center" wrapText="1" indent="1"/>
    </xf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36">
    <xf numFmtId="0" fontId="0" fillId="0" borderId="0" xfId="0">
      <alignment vertical="center"/>
    </xf>
    <xf numFmtId="0" fontId="7" fillId="0" borderId="1" xfId="1" applyFont="1" applyBorder="1" applyAlignment="1">
      <alignment readingOrder="2"/>
    </xf>
    <xf numFmtId="0" fontId="8" fillId="0" borderId="1" xfId="0" applyFont="1" applyBorder="1" applyAlignment="1">
      <alignment vertical="center" readingOrder="2"/>
    </xf>
    <xf numFmtId="0" fontId="9" fillId="0" borderId="1" xfId="0" applyFont="1" applyBorder="1" applyAlignment="1">
      <alignment horizontal="right" readingOrder="2"/>
    </xf>
    <xf numFmtId="0" fontId="8" fillId="0" borderId="0" xfId="0" applyFont="1" applyAlignment="1">
      <alignment vertical="center" readingOrder="2"/>
    </xf>
    <xf numFmtId="0" fontId="8" fillId="2" borderId="8" xfId="0" applyFont="1" applyFill="1" applyBorder="1" applyAlignment="1">
      <alignment vertical="center" readingOrder="2"/>
    </xf>
    <xf numFmtId="0" fontId="10" fillId="0" borderId="0" xfId="2" applyFont="1" applyAlignment="1">
      <alignment readingOrder="2"/>
    </xf>
    <xf numFmtId="3" fontId="11" fillId="0" borderId="2" xfId="0" applyNumberFormat="1" applyFont="1" applyFill="1" applyBorder="1" applyAlignment="1">
      <alignment horizontal="right" wrapText="1" readingOrder="2"/>
    </xf>
    <xf numFmtId="164" fontId="12" fillId="0" borderId="2" xfId="6" applyFont="1" applyAlignment="1">
      <alignment horizontal="right" vertical="center" wrapText="1" readingOrder="2"/>
    </xf>
    <xf numFmtId="164" fontId="13" fillId="2" borderId="6" xfId="0" applyNumberFormat="1" applyFont="1" applyFill="1" applyBorder="1" applyAlignment="1">
      <alignment horizontal="right" vertical="center" wrapText="1" readingOrder="2"/>
    </xf>
    <xf numFmtId="3" fontId="13" fillId="0" borderId="2" xfId="0" applyNumberFormat="1" applyFont="1" applyFill="1" applyBorder="1" applyAlignment="1">
      <alignment horizontal="right" vertical="center" wrapText="1" readingOrder="2"/>
    </xf>
    <xf numFmtId="0" fontId="8" fillId="0" borderId="0" xfId="0" applyFont="1" applyFill="1" applyBorder="1" applyAlignment="1">
      <alignment vertical="center" readingOrder="2"/>
    </xf>
    <xf numFmtId="14" fontId="14" fillId="0" borderId="0" xfId="0" applyNumberFormat="1" applyFont="1" applyBorder="1" applyAlignment="1">
      <alignment horizontal="left" vertical="center" readingOrder="2"/>
    </xf>
    <xf numFmtId="3" fontId="14" fillId="0" borderId="3" xfId="0" applyNumberFormat="1" applyFont="1" applyFill="1" applyBorder="1" applyAlignment="1">
      <alignment horizontal="right" wrapText="1" readingOrder="2"/>
    </xf>
    <xf numFmtId="165" fontId="14" fillId="0" borderId="3" xfId="0" applyNumberFormat="1" applyFont="1" applyFill="1" applyBorder="1" applyAlignment="1">
      <alignment horizontal="right" wrapText="1" readingOrder="2"/>
    </xf>
    <xf numFmtId="165" fontId="11" fillId="2" borderId="6" xfId="0" applyNumberFormat="1" applyFont="1" applyFill="1" applyBorder="1" applyAlignment="1">
      <alignment horizontal="right" wrapText="1" readingOrder="2"/>
    </xf>
    <xf numFmtId="3" fontId="14" fillId="0" borderId="0" xfId="0" applyNumberFormat="1" applyFont="1" applyFill="1" applyBorder="1" applyAlignment="1">
      <alignment horizontal="right" wrapText="1" readingOrder="2"/>
    </xf>
    <xf numFmtId="165" fontId="11" fillId="0" borderId="0" xfId="0" applyNumberFormat="1" applyFont="1" applyFill="1" applyBorder="1" applyAlignment="1">
      <alignment horizontal="right" wrapText="1" readingOrder="2"/>
    </xf>
    <xf numFmtId="165" fontId="11" fillId="2" borderId="5" xfId="0" applyNumberFormat="1" applyFont="1" applyFill="1" applyBorder="1" applyAlignment="1">
      <alignment horizontal="right" wrapText="1" readingOrder="2"/>
    </xf>
    <xf numFmtId="3" fontId="11" fillId="0" borderId="0" xfId="0" applyNumberFormat="1" applyFont="1" applyFill="1" applyBorder="1" applyAlignment="1">
      <alignment horizontal="right" wrapText="1" readingOrder="2"/>
    </xf>
    <xf numFmtId="166" fontId="14" fillId="0" borderId="9" xfId="0" applyNumberFormat="1" applyFont="1" applyFill="1" applyBorder="1" applyAlignment="1">
      <alignment horizontal="right" vertical="center" readingOrder="2"/>
    </xf>
    <xf numFmtId="166" fontId="14" fillId="2" borderId="6" xfId="0" applyNumberFormat="1" applyFont="1" applyFill="1" applyBorder="1" applyAlignment="1">
      <alignment horizontal="right" readingOrder="2"/>
    </xf>
    <xf numFmtId="0" fontId="9" fillId="0" borderId="9" xfId="0" applyFont="1" applyFill="1" applyBorder="1" applyAlignment="1">
      <alignment vertical="center" readingOrder="2"/>
    </xf>
    <xf numFmtId="0" fontId="8" fillId="2" borderId="5" xfId="0" applyFont="1" applyFill="1" applyBorder="1" applyAlignment="1">
      <alignment vertical="center" readingOrder="2"/>
    </xf>
    <xf numFmtId="0" fontId="15" fillId="0" borderId="0" xfId="2" applyFont="1" applyAlignment="1">
      <alignment vertical="center" readingOrder="2"/>
    </xf>
    <xf numFmtId="166" fontId="8" fillId="2" borderId="5" xfId="0" applyNumberFormat="1" applyFont="1" applyFill="1" applyBorder="1" applyAlignment="1">
      <alignment vertical="center" readingOrder="2"/>
    </xf>
    <xf numFmtId="0" fontId="8" fillId="2" borderId="4" xfId="0" applyFont="1" applyFill="1" applyBorder="1" applyAlignment="1">
      <alignment vertical="center" readingOrder="2"/>
    </xf>
    <xf numFmtId="0" fontId="8" fillId="2" borderId="0" xfId="0" applyFont="1" applyFill="1" applyAlignment="1">
      <alignment vertical="center" readingOrder="2"/>
    </xf>
    <xf numFmtId="0" fontId="8" fillId="0" borderId="9" xfId="0" applyFont="1" applyBorder="1" applyAlignment="1">
      <alignment vertical="center" readingOrder="2"/>
    </xf>
    <xf numFmtId="166" fontId="8" fillId="0" borderId="0" xfId="0" applyNumberFormat="1" applyFont="1" applyFill="1" applyBorder="1" applyAlignment="1">
      <alignment horizontal="right" vertical="center" readingOrder="2"/>
    </xf>
    <xf numFmtId="3" fontId="8" fillId="2" borderId="5" xfId="0" applyNumberFormat="1" applyFont="1" applyFill="1" applyBorder="1" applyAlignment="1">
      <alignment vertical="center" readingOrder="2"/>
    </xf>
    <xf numFmtId="166" fontId="8" fillId="0" borderId="0" xfId="0" applyNumberFormat="1" applyFont="1" applyFill="1" applyBorder="1" applyAlignment="1">
      <alignment vertical="center" readingOrder="2"/>
    </xf>
    <xf numFmtId="3" fontId="8" fillId="0" borderId="0" xfId="0" applyNumberFormat="1" applyFont="1" applyFill="1" applyBorder="1" applyAlignment="1">
      <alignment vertical="center" readingOrder="2"/>
    </xf>
    <xf numFmtId="0" fontId="8" fillId="0" borderId="0" xfId="0" applyFont="1" applyFill="1" applyBorder="1" applyAlignment="1">
      <alignment readingOrder="2"/>
    </xf>
    <xf numFmtId="0" fontId="9" fillId="0" borderId="10" xfId="0" applyFont="1" applyFill="1" applyBorder="1" applyAlignment="1">
      <alignment readingOrder="2"/>
    </xf>
    <xf numFmtId="14" fontId="14" fillId="0" borderId="0" xfId="0" applyNumberFormat="1" applyFont="1" applyBorder="1" applyAlignment="1">
      <alignment vertical="center" readingOrder="2"/>
    </xf>
    <xf numFmtId="166" fontId="15" fillId="0" borderId="10" xfId="2" applyNumberFormat="1" applyFont="1" applyFill="1" applyBorder="1" applyAlignment="1">
      <alignment vertical="center" readingOrder="2"/>
    </xf>
    <xf numFmtId="166" fontId="16" fillId="0" borderId="0" xfId="0" applyNumberFormat="1" applyFont="1" applyAlignment="1">
      <alignment vertical="center" readingOrder="2"/>
    </xf>
    <xf numFmtId="166" fontId="15" fillId="3" borderId="10" xfId="2" applyNumberFormat="1" applyFont="1" applyFill="1" applyBorder="1" applyAlignment="1">
      <alignment vertical="center" readingOrder="2"/>
    </xf>
    <xf numFmtId="0" fontId="15" fillId="0" borderId="0" xfId="2" applyFont="1" applyAlignment="1">
      <alignment readingOrder="2"/>
    </xf>
    <xf numFmtId="0" fontId="16" fillId="0" borderId="0" xfId="0" applyFont="1" applyFill="1" applyBorder="1" applyAlignment="1">
      <alignment vertical="center" readingOrder="2"/>
    </xf>
    <xf numFmtId="0" fontId="8" fillId="0" borderId="0" xfId="0" applyFont="1" applyAlignment="1">
      <alignment readingOrder="2"/>
    </xf>
    <xf numFmtId="0" fontId="8" fillId="0" borderId="0" xfId="0" applyFont="1" applyAlignment="1">
      <alignment horizontal="center" readingOrder="2"/>
    </xf>
    <xf numFmtId="0" fontId="8" fillId="0" borderId="0" xfId="0" applyFont="1" applyFill="1" applyBorder="1" applyAlignment="1">
      <alignment horizontal="center" vertical="center" readingOrder="2"/>
    </xf>
    <xf numFmtId="0" fontId="8" fillId="0" borderId="0" xfId="0" applyFont="1" applyAlignment="1">
      <alignment readingOrder="2"/>
    </xf>
    <xf numFmtId="9" fontId="8" fillId="0" borderId="0" xfId="8" applyFont="1" applyAlignment="1">
      <alignment vertical="center" readingOrder="2"/>
    </xf>
    <xf numFmtId="9" fontId="8" fillId="0" borderId="0" xfId="8" applyFont="1" applyAlignment="1">
      <alignment horizontal="right" vertical="center" readingOrder="2"/>
    </xf>
    <xf numFmtId="9" fontId="8" fillId="0" borderId="0" xfId="0" applyNumberFormat="1" applyFont="1" applyAlignment="1">
      <alignment horizontal="right" vertical="center" readingOrder="2"/>
    </xf>
    <xf numFmtId="168" fontId="8" fillId="2" borderId="5" xfId="7" applyNumberFormat="1" applyFont="1" applyFill="1" applyBorder="1" applyAlignment="1">
      <alignment vertical="center" readingOrder="2"/>
    </xf>
    <xf numFmtId="168" fontId="14" fillId="3" borderId="9" xfId="7" applyNumberFormat="1" applyFont="1" applyFill="1" applyBorder="1" applyAlignment="1">
      <alignment vertical="center" readingOrder="2"/>
    </xf>
    <xf numFmtId="168" fontId="14" fillId="2" borderId="7" xfId="7" applyNumberFormat="1" applyFont="1" applyFill="1" applyBorder="1" applyAlignment="1">
      <alignment vertical="center" readingOrder="2"/>
    </xf>
    <xf numFmtId="168" fontId="8" fillId="6" borderId="0" xfId="7" applyNumberFormat="1" applyFont="1" applyFill="1" applyAlignment="1">
      <alignment vertical="center" readingOrder="2"/>
    </xf>
    <xf numFmtId="166" fontId="14" fillId="7" borderId="9" xfId="5" applyFont="1" applyFill="1" applyAlignment="1">
      <alignment vertical="center" readingOrder="2"/>
    </xf>
    <xf numFmtId="168" fontId="14" fillId="7" borderId="9" xfId="7" applyNumberFormat="1" applyFont="1" applyFill="1" applyBorder="1" applyAlignment="1">
      <alignment vertical="center" readingOrder="2"/>
    </xf>
    <xf numFmtId="166" fontId="17" fillId="8" borderId="0" xfId="0" applyNumberFormat="1" applyFont="1" applyFill="1" applyAlignment="1">
      <alignment vertical="center" readingOrder="2"/>
    </xf>
    <xf numFmtId="168" fontId="8" fillId="8" borderId="0" xfId="7" applyNumberFormat="1" applyFont="1" applyFill="1" applyAlignment="1">
      <alignment vertical="center" readingOrder="2"/>
    </xf>
    <xf numFmtId="166" fontId="17" fillId="8" borderId="10" xfId="0" applyNumberFormat="1" applyFont="1" applyFill="1" applyBorder="1" applyAlignment="1">
      <alignment vertical="center" readingOrder="2"/>
    </xf>
    <xf numFmtId="0" fontId="8" fillId="2" borderId="12" xfId="0" applyFont="1" applyFill="1" applyBorder="1" applyAlignment="1">
      <alignment vertical="center" readingOrder="2"/>
    </xf>
    <xf numFmtId="9" fontId="8" fillId="4" borderId="9" xfId="0" applyNumberFormat="1" applyFont="1" applyFill="1" applyBorder="1" applyAlignment="1">
      <alignment horizontal="right" vertical="center" readingOrder="2"/>
    </xf>
    <xf numFmtId="168" fontId="8" fillId="6" borderId="9" xfId="7" applyNumberFormat="1" applyFont="1" applyFill="1" applyBorder="1" applyAlignment="1">
      <alignment vertical="center" readingOrder="2"/>
    </xf>
    <xf numFmtId="168" fontId="8" fillId="2" borderId="6" xfId="7" applyNumberFormat="1" applyFont="1" applyFill="1" applyBorder="1" applyAlignment="1">
      <alignment vertical="center" readingOrder="2"/>
    </xf>
    <xf numFmtId="168" fontId="8" fillId="8" borderId="9" xfId="7" applyNumberFormat="1" applyFont="1" applyFill="1" applyBorder="1" applyAlignment="1">
      <alignment vertical="center" readingOrder="2"/>
    </xf>
    <xf numFmtId="166" fontId="15" fillId="9" borderId="10" xfId="2" applyNumberFormat="1" applyFont="1" applyFill="1" applyBorder="1" applyAlignment="1">
      <alignment vertical="center" readingOrder="2"/>
    </xf>
    <xf numFmtId="166" fontId="14" fillId="9" borderId="9" xfId="5" applyFont="1" applyFill="1" applyAlignment="1">
      <alignment vertical="center" readingOrder="2"/>
    </xf>
    <xf numFmtId="166" fontId="14" fillId="9" borderId="9" xfId="5" applyFont="1" applyFill="1" applyBorder="1" applyAlignment="1">
      <alignment vertical="center" readingOrder="2"/>
    </xf>
    <xf numFmtId="0" fontId="8" fillId="2" borderId="0" xfId="0" applyFont="1" applyFill="1" applyBorder="1" applyAlignment="1">
      <alignment vertical="center" readingOrder="2"/>
    </xf>
    <xf numFmtId="166" fontId="8" fillId="0" borderId="0" xfId="8" applyNumberFormat="1" applyFont="1" applyAlignment="1">
      <alignment vertical="center" readingOrder="2"/>
    </xf>
    <xf numFmtId="168" fontId="8" fillId="6" borderId="0" xfId="0" applyNumberFormat="1" applyFont="1" applyFill="1" applyAlignment="1">
      <alignment vertical="center" readingOrder="2"/>
    </xf>
    <xf numFmtId="168" fontId="8" fillId="2" borderId="5" xfId="0" applyNumberFormat="1" applyFont="1" applyFill="1" applyBorder="1" applyAlignment="1">
      <alignment vertical="center" readingOrder="2"/>
    </xf>
    <xf numFmtId="168" fontId="8" fillId="8" borderId="0" xfId="0" applyNumberFormat="1" applyFont="1" applyFill="1" applyAlignment="1">
      <alignment vertical="center" readingOrder="2"/>
    </xf>
    <xf numFmtId="0" fontId="8" fillId="0" borderId="0" xfId="0" applyFont="1">
      <alignment vertical="center"/>
    </xf>
    <xf numFmtId="0" fontId="21" fillId="10" borderId="0" xfId="0" applyFont="1" applyFill="1">
      <alignment vertical="center"/>
    </xf>
    <xf numFmtId="0" fontId="21" fillId="5" borderId="0" xfId="0" applyFont="1" applyFill="1">
      <alignment vertical="center"/>
    </xf>
    <xf numFmtId="0" fontId="21" fillId="11" borderId="0" xfId="0" applyFont="1" applyFill="1">
      <alignment vertical="center"/>
    </xf>
    <xf numFmtId="0" fontId="21" fillId="0" borderId="0" xfId="0" applyFont="1">
      <alignment vertical="center"/>
    </xf>
    <xf numFmtId="0" fontId="21" fillId="8" borderId="13" xfId="0" applyFont="1" applyFill="1" applyBorder="1">
      <alignment vertical="center"/>
    </xf>
    <xf numFmtId="0" fontId="22" fillId="8" borderId="14" xfId="0" applyFont="1" applyFill="1" applyBorder="1" applyAlignment="1">
      <alignment vertical="center" readingOrder="2"/>
    </xf>
    <xf numFmtId="0" fontId="22" fillId="8" borderId="15" xfId="0" applyFont="1" applyFill="1" applyBorder="1" applyAlignment="1">
      <alignment vertical="center" readingOrder="2"/>
    </xf>
    <xf numFmtId="14" fontId="23" fillId="12" borderId="0" xfId="0" applyNumberFormat="1" applyFont="1" applyFill="1" applyProtection="1">
      <alignment vertical="center"/>
      <protection locked="0"/>
    </xf>
    <xf numFmtId="0" fontId="23" fillId="12" borderId="0" xfId="0" applyFont="1" applyFill="1" applyProtection="1">
      <alignment vertical="center"/>
      <protection locked="0"/>
    </xf>
    <xf numFmtId="0" fontId="21" fillId="12" borderId="0" xfId="0" applyFont="1" applyFill="1" applyProtection="1">
      <alignment vertical="center"/>
      <protection locked="0"/>
    </xf>
    <xf numFmtId="14" fontId="21" fillId="12" borderId="0" xfId="0" applyNumberFormat="1" applyFont="1" applyFill="1" applyProtection="1">
      <alignment vertical="center"/>
      <protection locked="0"/>
    </xf>
    <xf numFmtId="0" fontId="21" fillId="13" borderId="0" xfId="0" applyFont="1" applyFill="1" applyProtection="1">
      <alignment vertical="center"/>
      <protection locked="0"/>
    </xf>
    <xf numFmtId="0" fontId="23" fillId="13" borderId="0" xfId="0" applyFont="1" applyFill="1" applyProtection="1">
      <alignment vertical="center"/>
      <protection locked="0"/>
    </xf>
    <xf numFmtId="0" fontId="24" fillId="0" borderId="0" xfId="0" applyFont="1" applyAlignment="1">
      <alignment vertical="center" readingOrder="2"/>
    </xf>
    <xf numFmtId="166" fontId="25" fillId="14" borderId="0" xfId="8" applyNumberFormat="1" applyFont="1" applyFill="1" applyAlignment="1">
      <alignment horizontal="right" vertical="center" readingOrder="2"/>
    </xf>
    <xf numFmtId="166" fontId="25" fillId="14" borderId="11" xfId="8" applyNumberFormat="1" applyFont="1" applyFill="1" applyBorder="1" applyAlignment="1">
      <alignment horizontal="right" vertical="center" readingOrder="2"/>
    </xf>
    <xf numFmtId="166" fontId="17" fillId="15" borderId="0" xfId="0" applyNumberFormat="1" applyFont="1" applyFill="1" applyAlignment="1">
      <alignment vertical="center" readingOrder="2"/>
    </xf>
    <xf numFmtId="168" fontId="8" fillId="15" borderId="0" xfId="0" applyNumberFormat="1" applyFont="1" applyFill="1" applyAlignment="1">
      <alignment vertical="center" readingOrder="2"/>
    </xf>
    <xf numFmtId="166" fontId="15" fillId="3" borderId="16" xfId="0" applyNumberFormat="1" applyFont="1" applyFill="1" applyBorder="1" applyAlignment="1">
      <alignment vertical="center" readingOrder="2"/>
    </xf>
    <xf numFmtId="166" fontId="14" fillId="7" borderId="9" xfId="0" applyNumberFormat="1" applyFont="1" applyFill="1" applyBorder="1" applyAlignment="1" applyProtection="1">
      <alignment vertical="center" readingOrder="2"/>
    </xf>
    <xf numFmtId="168" fontId="14" fillId="7" borderId="9" xfId="0" applyNumberFormat="1" applyFont="1" applyFill="1" applyBorder="1" applyAlignment="1">
      <alignment vertical="center" readingOrder="2"/>
    </xf>
    <xf numFmtId="168" fontId="14" fillId="2" borderId="17" xfId="0" applyNumberFormat="1" applyFont="1" applyFill="1" applyBorder="1" applyAlignment="1">
      <alignment vertical="center" readingOrder="2"/>
    </xf>
    <xf numFmtId="168" fontId="14" fillId="3" borderId="9" xfId="0" applyNumberFormat="1" applyFont="1" applyFill="1" applyBorder="1" applyAlignment="1">
      <alignment vertical="center" readingOrder="2"/>
    </xf>
    <xf numFmtId="166" fontId="15" fillId="3" borderId="10" xfId="0" applyNumberFormat="1" applyFont="1" applyFill="1" applyBorder="1" applyAlignment="1">
      <alignment vertical="center" readingOrder="2"/>
    </xf>
    <xf numFmtId="168" fontId="14" fillId="2" borderId="7" xfId="0" applyNumberFormat="1" applyFont="1" applyFill="1" applyBorder="1" applyAlignment="1">
      <alignment vertical="center" readingOrder="2"/>
    </xf>
    <xf numFmtId="0" fontId="8" fillId="0" borderId="0" xfId="0" applyFont="1" applyBorder="1" applyAlignment="1">
      <alignment vertical="center" readingOrder="2"/>
    </xf>
    <xf numFmtId="168" fontId="8" fillId="6" borderId="9" xfId="0" applyNumberFormat="1" applyFont="1" applyFill="1" applyBorder="1" applyAlignment="1">
      <alignment vertical="center" readingOrder="2"/>
    </xf>
    <xf numFmtId="168" fontId="8" fillId="2" borderId="6" xfId="0" applyNumberFormat="1" applyFont="1" applyFill="1" applyBorder="1" applyAlignment="1">
      <alignment vertical="center" readingOrder="2"/>
    </xf>
    <xf numFmtId="168" fontId="8" fillId="8" borderId="9" xfId="0" applyNumberFormat="1" applyFont="1" applyFill="1" applyBorder="1" applyAlignment="1">
      <alignment vertical="center" readingOrder="2"/>
    </xf>
    <xf numFmtId="168" fontId="14" fillId="9" borderId="9" xfId="7" applyNumberFormat="1" applyFont="1" applyFill="1" applyBorder="1" applyAlignment="1">
      <alignment vertical="center" readingOrder="2"/>
    </xf>
    <xf numFmtId="168" fontId="20" fillId="4" borderId="0" xfId="7" applyNumberFormat="1" applyFont="1" applyFill="1" applyAlignment="1" applyProtection="1">
      <alignment vertical="center" readingOrder="2"/>
      <protection locked="0"/>
    </xf>
    <xf numFmtId="9" fontId="19" fillId="4" borderId="0" xfId="8" applyFont="1" applyFill="1" applyAlignment="1" applyProtection="1">
      <alignment horizontal="right" vertical="center" readingOrder="2"/>
      <protection locked="0"/>
    </xf>
    <xf numFmtId="168" fontId="19" fillId="4" borderId="0" xfId="7" applyNumberFormat="1" applyFont="1" applyFill="1" applyBorder="1" applyAlignment="1" applyProtection="1">
      <alignment horizontal="right" vertical="center" readingOrder="2"/>
      <protection locked="0"/>
    </xf>
    <xf numFmtId="14" fontId="14" fillId="4" borderId="0" xfId="0" applyNumberFormat="1" applyFont="1" applyFill="1" applyBorder="1" applyAlignment="1" applyProtection="1">
      <alignment vertical="center" readingOrder="2"/>
      <protection locked="0"/>
    </xf>
    <xf numFmtId="0" fontId="21" fillId="6" borderId="0" xfId="0" applyFont="1" applyFill="1" applyProtection="1">
      <alignment vertical="center"/>
      <protection locked="0"/>
    </xf>
    <xf numFmtId="0" fontId="21" fillId="0" borderId="0" xfId="0" applyFont="1" applyProtection="1">
      <alignment vertical="center"/>
      <protection locked="0"/>
    </xf>
    <xf numFmtId="0" fontId="26" fillId="0" borderId="0" xfId="0" applyFont="1">
      <alignment vertical="center"/>
    </xf>
    <xf numFmtId="164" fontId="8" fillId="0" borderId="1" xfId="0" applyNumberFormat="1" applyFont="1" applyBorder="1" applyAlignment="1">
      <alignment vertical="center" readingOrder="2"/>
    </xf>
    <xf numFmtId="0" fontId="21" fillId="0" borderId="2" xfId="6" applyNumberFormat="1" applyFont="1" applyAlignment="1">
      <alignment horizontal="left" vertical="center" wrapText="1" readingOrder="2"/>
    </xf>
    <xf numFmtId="168" fontId="15" fillId="0" borderId="10" xfId="7" applyNumberFormat="1" applyFont="1" applyFill="1" applyBorder="1" applyAlignment="1">
      <alignment vertical="center" readingOrder="2"/>
    </xf>
    <xf numFmtId="0" fontId="16" fillId="0" borderId="18" xfId="0" applyFont="1" applyBorder="1" applyAlignment="1">
      <alignment vertical="center" readingOrder="2"/>
    </xf>
    <xf numFmtId="168" fontId="15" fillId="0" borderId="0" xfId="7" applyNumberFormat="1" applyFont="1" applyFill="1" applyBorder="1" applyAlignment="1">
      <alignment vertical="center" readingOrder="2"/>
    </xf>
    <xf numFmtId="166" fontId="15" fillId="0" borderId="22" xfId="2" applyNumberFormat="1" applyFont="1" applyFill="1" applyBorder="1" applyAlignment="1">
      <alignment vertical="center" readingOrder="2"/>
    </xf>
    <xf numFmtId="168" fontId="15" fillId="0" borderId="23" xfId="7" applyNumberFormat="1" applyFont="1" applyFill="1" applyBorder="1" applyAlignment="1">
      <alignment vertical="center" readingOrder="2"/>
    </xf>
    <xf numFmtId="0" fontId="16" fillId="0" borderId="24" xfId="0" applyFont="1" applyBorder="1" applyAlignment="1">
      <alignment vertical="center" readingOrder="2"/>
    </xf>
    <xf numFmtId="0" fontId="16" fillId="0" borderId="25" xfId="0" applyFont="1" applyBorder="1" applyAlignment="1">
      <alignment vertical="center" readingOrder="2"/>
    </xf>
    <xf numFmtId="166" fontId="15" fillId="0" borderId="26" xfId="2" applyNumberFormat="1" applyFont="1" applyFill="1" applyBorder="1" applyAlignment="1">
      <alignment vertical="center" readingOrder="2"/>
    </xf>
    <xf numFmtId="168" fontId="15" fillId="0" borderId="27" xfId="7" applyNumberFormat="1" applyFont="1" applyFill="1" applyBorder="1" applyAlignment="1">
      <alignment vertical="center" readingOrder="2"/>
    </xf>
    <xf numFmtId="166" fontId="15" fillId="3" borderId="22" xfId="2" applyNumberFormat="1" applyFont="1" applyFill="1" applyBorder="1" applyAlignment="1">
      <alignment vertical="center" readingOrder="2"/>
    </xf>
    <xf numFmtId="166" fontId="15" fillId="3" borderId="23" xfId="2" applyNumberFormat="1" applyFont="1" applyFill="1" applyBorder="1" applyAlignment="1">
      <alignment vertical="center" readingOrder="2"/>
    </xf>
    <xf numFmtId="0" fontId="26" fillId="0" borderId="26" xfId="0" applyFont="1" applyBorder="1">
      <alignment vertical="center"/>
    </xf>
    <xf numFmtId="0" fontId="26" fillId="4" borderId="0" xfId="0" applyFont="1" applyFill="1" applyProtection="1">
      <alignment vertical="center"/>
      <protection locked="0"/>
    </xf>
    <xf numFmtId="0" fontId="27" fillId="0" borderId="0" xfId="0" applyFont="1">
      <alignment vertical="center"/>
    </xf>
    <xf numFmtId="0" fontId="28" fillId="0" borderId="1" xfId="1" applyFont="1" applyBorder="1" applyAlignment="1">
      <alignment readingOrder="2"/>
    </xf>
    <xf numFmtId="0" fontId="29" fillId="8" borderId="19" xfId="0" applyFont="1" applyFill="1" applyBorder="1" applyAlignment="1">
      <alignment vertical="center" readingOrder="2"/>
    </xf>
    <xf numFmtId="0" fontId="30" fillId="8" borderId="20" xfId="2" applyFont="1" applyFill="1" applyBorder="1" applyAlignment="1">
      <alignment readingOrder="2"/>
    </xf>
    <xf numFmtId="0" fontId="30" fillId="8" borderId="21" xfId="2" applyFont="1" applyFill="1" applyBorder="1" applyAlignment="1">
      <alignment readingOrder="2"/>
    </xf>
    <xf numFmtId="168" fontId="15" fillId="3" borderId="10" xfId="7" applyNumberFormat="1" applyFont="1" applyFill="1" applyBorder="1" applyAlignment="1">
      <alignment vertical="center" readingOrder="2"/>
    </xf>
    <xf numFmtId="168" fontId="15" fillId="3" borderId="23" xfId="7" applyNumberFormat="1" applyFont="1" applyFill="1" applyBorder="1" applyAlignment="1">
      <alignment vertical="center" readingOrder="2"/>
    </xf>
    <xf numFmtId="168" fontId="26" fillId="0" borderId="0" xfId="7" applyNumberFormat="1" applyFont="1" applyBorder="1" applyAlignment="1">
      <alignment vertical="center"/>
    </xf>
    <xf numFmtId="168" fontId="26" fillId="0" borderId="27" xfId="7" applyNumberFormat="1" applyFont="1" applyBorder="1" applyAlignment="1">
      <alignment vertical="center"/>
    </xf>
    <xf numFmtId="166" fontId="31" fillId="9" borderId="29" xfId="2" applyNumberFormat="1" applyFont="1" applyFill="1" applyBorder="1" applyAlignment="1">
      <alignment vertical="center" readingOrder="2"/>
    </xf>
    <xf numFmtId="168" fontId="31" fillId="9" borderId="30" xfId="7" applyNumberFormat="1" applyFont="1" applyFill="1" applyBorder="1" applyAlignment="1">
      <alignment vertical="center" readingOrder="2"/>
    </xf>
    <xf numFmtId="168" fontId="31" fillId="9" borderId="28" xfId="7" applyNumberFormat="1" applyFont="1" applyFill="1" applyBorder="1" applyAlignment="1">
      <alignment vertical="center" readingOrder="2"/>
    </xf>
    <xf numFmtId="166" fontId="14" fillId="7" borderId="9" xfId="0" applyNumberFormat="1" applyFont="1" applyFill="1" applyBorder="1" applyAlignment="1">
      <alignment vertical="center" readingOrder="2"/>
    </xf>
  </cellXfs>
  <cellStyles count="9">
    <cellStyle name="Comma" xfId="7" builtinId="3"/>
    <cellStyle name="Month" xfId="6" xr:uid="{00000000-0005-0000-0000-000003000000}"/>
    <cellStyle name="Normal" xfId="0" builtinId="0" customBuiltin="1"/>
    <cellStyle name="Percent" xfId="8" builtinId="5"/>
    <cellStyle name="Totals" xfId="5" xr:uid="{00000000-0005-0000-0000-000006000000}"/>
    <cellStyle name="כותרת" xfId="1" builtinId="15" customBuiltin="1"/>
    <cellStyle name="כותרת 1" xfId="2" builtinId="16" customBuiltin="1"/>
    <cellStyle name="כותרת 2" xfId="3" builtinId="17" customBuiltin="1"/>
    <cellStyle name="כותרת 3" xfId="4" builtinId="18" customBuiltin="1"/>
  </cellStyles>
  <dxfs count="26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2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59996337778862885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 outline="0">
        <left/>
        <right style="dotted">
          <color theme="0" tint="-0.34998626667073579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6" formatCode="0_);\-0_)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75432599871821"/>
        <name val="Tahoma"/>
        <family val="2"/>
        <scheme val="none"/>
      </font>
      <numFmt numFmtId="166" formatCode="0_);\-0_)"/>
      <fill>
        <patternFill patternType="solid">
          <fgColor indexed="64"/>
          <bgColor theme="4" tint="0.59996337778862885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/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59996337778862885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 outline="0">
        <left/>
        <right style="dotted">
          <color theme="0" tint="-0.34998626667073579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6" formatCode="0_);\-0_)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75432599871821"/>
        <name val="Tahoma"/>
        <family val="2"/>
        <scheme val="none"/>
      </font>
      <numFmt numFmtId="166" formatCode="0_);\-0_)"/>
      <fill>
        <patternFill patternType="solid">
          <fgColor indexed="64"/>
          <bgColor theme="4" tint="0.59996337778862885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/>
        <top/>
        <bottom style="medium">
          <color theme="4" tint="0.39994506668294322"/>
        </bottom>
      </border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66" formatCode="0_);\-0_)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66" formatCode="0_);\-0_)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fill>
        <patternFill patternType="solid">
          <fgColor indexed="64"/>
          <bgColor theme="0"/>
        </patternFill>
      </fill>
      <alignment textRotation="0" indent="0" justifyLastLine="0" shrinkToFit="0" readingOrder="2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10"/>
        <color theme="1" tint="0.499984740745262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3" formatCode="0%"/>
      <alignment horizontal="right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 outline="0">
        <left/>
        <right/>
        <top/>
        <bottom style="thick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0_);\-0_)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2"/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name val="Tahoma"/>
        <scheme val="none"/>
      </font>
      <numFmt numFmtId="166" formatCode="0_);\-0_)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name val="Tahoma"/>
        <scheme val="none"/>
      </font>
      <numFmt numFmtId="166" formatCode="0_);\-0_)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name val="Tahoma"/>
        <scheme val="none"/>
      </font>
      <numFmt numFmtId="166" formatCode="0_);\-0_)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name val="Tahoma"/>
        <scheme val="none"/>
      </font>
      <numFmt numFmtId="166" formatCode="0_);\-0_)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name val="Tahoma"/>
        <scheme val="none"/>
      </font>
      <numFmt numFmtId="166" formatCode="0_);\-0_)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name val="Tahoma"/>
        <scheme val="none"/>
      </font>
      <numFmt numFmtId="166" formatCode="0_);\-0_)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name val="Tahoma"/>
        <scheme val="none"/>
      </font>
      <numFmt numFmtId="166" formatCode="0_);\-0_)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name val="Tahoma"/>
        <scheme val="none"/>
      </font>
      <numFmt numFmtId="166" formatCode="0_);\-0_)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name val="Tahoma"/>
        <scheme val="none"/>
      </font>
      <numFmt numFmtId="166" formatCode="0_);\-0_)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name val="Tahoma"/>
        <scheme val="none"/>
      </font>
      <numFmt numFmtId="166" formatCode="0_);\-0_)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strike val="0"/>
        <outline val="0"/>
        <shadow val="0"/>
        <u val="none"/>
        <vertAlign val="baseline"/>
        <name val="Tahoma"/>
        <scheme val="none"/>
      </font>
      <numFmt numFmtId="166" formatCode="0_);\-0_)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2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59996337778862885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 outline="0">
        <left/>
        <right style="dotted">
          <color theme="0" tint="-0.34998626667073579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6" formatCode="0_);\-0_)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75432599871821"/>
        <name val="Tahoma"/>
        <family val="2"/>
        <scheme val="none"/>
      </font>
      <numFmt numFmtId="166" formatCode="0_);\-0_)"/>
      <fill>
        <patternFill patternType="solid">
          <fgColor indexed="64"/>
          <bgColor theme="4" tint="0.59996337778862885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/>
        <top/>
        <bottom style="medium">
          <color theme="4" tint="0.39994506668294322"/>
        </bottom>
      </border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6" formatCode="0_);\-0_)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59996337778862885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none"/>
      </font>
      <numFmt numFmtId="166" formatCode="0_);\-0_)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2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 style="medium">
          <color theme="4" tint="0.39994506668294322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75432599871821"/>
        <name val="Tahoma"/>
        <family val="2"/>
        <scheme val="none"/>
      </font>
      <numFmt numFmtId="166" formatCode="0_);\-0_)"/>
      <fill>
        <patternFill patternType="solid">
          <fgColor indexed="64"/>
          <bgColor theme="4" tint="0.59996337778862885"/>
        </patternFill>
      </fill>
      <alignment horizontal="general" vertical="center" textRotation="0" wrapText="0" indent="0" justifyLastLine="0" shrinkToFit="0" readingOrder="2"/>
      <border diagonalUp="0" diagonalDown="0" outline="0">
        <left/>
        <right style="dotted">
          <color theme="0" tint="-0.34998626667073579"/>
        </right>
        <top/>
        <bottom style="medium">
          <color theme="4" tint="0.39994506668294322"/>
        </bottom>
      </border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2" tint="-0.499984740745262"/>
        <name val="Tahoma"/>
        <family val="2"/>
        <scheme val="none"/>
      </font>
      <numFmt numFmtId="13" formatCode="0%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numFmt numFmtId="166" formatCode="0_);\-0_)"/>
      <fill>
        <patternFill>
          <fgColor indexed="64"/>
          <bgColor theme="0"/>
        </patternFill>
      </fill>
      <alignment textRotation="0" indent="0" justifyLastLine="0" shrinkToFit="0" readingOrder="2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10"/>
        <color theme="2" tint="-0.499984740745262"/>
        <name val="Tahoma"/>
        <family val="2"/>
        <scheme val="none"/>
      </font>
      <numFmt numFmtId="166" formatCode="0_);\-0_)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2" tint="-0.499984740745262"/>
        <name val="Tahoma"/>
        <family val="2"/>
        <scheme val="none"/>
      </font>
      <numFmt numFmtId="166" formatCode="0_);\-0_)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2" tint="-0.499984740745262"/>
        <name val="Tahoma"/>
        <family val="2"/>
        <scheme val="none"/>
      </font>
      <numFmt numFmtId="166" formatCode="0_);\-0_)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2" tint="-0.499984740745262"/>
        <name val="Tahoma"/>
        <family val="2"/>
        <scheme val="none"/>
      </font>
      <numFmt numFmtId="166" formatCode="0_);\-0_)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2" tint="-0.499984740745262"/>
        <name val="Tahoma"/>
        <family val="2"/>
        <scheme val="none"/>
      </font>
      <numFmt numFmtId="166" formatCode="0_);\-0_)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2" tint="-0.499984740745262"/>
        <name val="Tahoma"/>
        <family val="2"/>
        <scheme val="none"/>
      </font>
      <numFmt numFmtId="166" formatCode="0_);\-0_)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2" tint="-0.499984740745262"/>
        <name val="Tahoma"/>
        <family val="2"/>
        <scheme val="none"/>
      </font>
      <numFmt numFmtId="166" formatCode="0_);\-0_)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2" tint="-0.499984740745262"/>
        <name val="Tahoma"/>
        <family val="2"/>
        <scheme val="none"/>
      </font>
      <numFmt numFmtId="166" formatCode="0_);\-0_)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2" tint="-0.499984740745262"/>
        <name val="Tahoma"/>
        <family val="2"/>
        <scheme val="none"/>
      </font>
      <numFmt numFmtId="166" formatCode="0_);\-0_)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2" tint="-0.499984740745262"/>
        <name val="Tahoma"/>
        <family val="2"/>
        <scheme val="none"/>
      </font>
      <numFmt numFmtId="166" formatCode="0_);\-0_)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2" tint="-0.499984740745262"/>
        <name val="Tahoma"/>
        <family val="2"/>
        <scheme val="none"/>
      </font>
      <numFmt numFmtId="166" formatCode="0_);\-0_)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numFmt numFmtId="166" formatCode="0_);\-0_)"/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fill>
        <patternFill patternType="solid">
          <fgColor indexed="64"/>
          <bgColor theme="0"/>
        </patternFill>
      </fill>
      <alignment textRotation="0" indent="0" justifyLastLine="0" shrinkToFit="0" readingOrder="2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10"/>
        <color theme="1" tint="0.499984740745262"/>
        <name val="Tahoma"/>
        <scheme val="none"/>
      </font>
      <numFmt numFmtId="166" formatCode="0_);\-0_)"/>
      <alignment horizontal="general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alignment horizontal="general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66" formatCode="0_);\-0_)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6" formatCode="0_);\-0_)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66" formatCode="0_);\-0_)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alignment horizontal="left" vertical="bottom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0.499984740745262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2"/>
    </dxf>
    <dxf>
      <alignment horizontal="left" vertical="bottom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name val="Tahoma"/>
        <scheme val="none"/>
      </font>
      <alignment horizontal="general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alignment horizontal="general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alignment horizontal="general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66" formatCode="0_);\-0_)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4" tint="-0.499984740745262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66" formatCode="0_);\-0_)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fill>
        <patternFill patternType="solid">
          <fgColor indexed="64"/>
          <bgColor theme="0"/>
        </patternFill>
      </fill>
      <alignment textRotation="0" indent="0" justifyLastLine="0" shrinkToFit="0" readingOrder="2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alignment horizontal="left" vertical="bottom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0.499984740745262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2"/>
    </dxf>
    <dxf>
      <alignment horizontal="left" vertical="bottom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name val="Tahoma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alignment textRotation="0" indent="0" justifyLastLine="0" shrinkToFit="0" readingOrder="2"/>
    </dxf>
    <dxf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name val="Tahoma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66" formatCode="0_);\-0_)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6" formatCode="0_);\-0_)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66" formatCode="0_);\-0_)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theme="1" tint="0.499984740745262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numFmt numFmtId="13" formatCode="0%"/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horizontal="right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0_);\-0_)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68" formatCode="_ * #,##0_ ;_ * \-#,##0_ ;_ * &quot;-&quot;??_ ;_ @_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alignment horizontal="general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numFmt numFmtId="13" formatCode="0%"/>
      <alignment horizontal="right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6795556505021"/>
        <name val="Tahoma"/>
        <family val="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2"/>
      <border diagonalUp="0" diagonalDown="0" outline="0">
        <left/>
        <right/>
        <top/>
        <bottom style="thick">
          <color theme="0"/>
        </bottom>
      </border>
    </dxf>
    <dxf>
      <font>
        <strike val="0"/>
        <outline val="0"/>
        <shadow val="0"/>
        <u val="none"/>
        <vertAlign val="baseline"/>
        <name val="Tahoma"/>
        <scheme val="none"/>
      </font>
      <alignment horizontal="general" textRotation="0" wrapText="0" indent="0" justifyLastLine="0" shrinkToFit="0" readingOrder="2"/>
    </dxf>
    <dxf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name val="Tahoma"/>
        <scheme val="none"/>
      </font>
      <alignment horizontal="general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alignment horizontal="general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alignment horizontal="general" textRotation="0" wrapText="0" indent="0" justifyLastLine="0" shrinkToFit="0" readingOrder="2"/>
    </dxf>
    <dxf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name val="Tahoma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numFmt numFmtId="166" formatCode="0_);\-0_)"/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numFmt numFmtId="166" formatCode="0_);\-0_)"/>
      <fill>
        <patternFill>
          <fgColor indexed="64"/>
          <bgColor theme="0"/>
        </patternFill>
      </fill>
      <alignment textRotation="0" indent="0" justifyLastLine="0" shrinkToFit="0" readingOrder="2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name val="Tahoma"/>
        <scheme val="none"/>
      </font>
      <fill>
        <patternFill patternType="solid">
          <fgColor indexed="64"/>
          <bgColor theme="0"/>
        </patternFill>
      </fill>
      <alignment textRotation="0" indent="0" justifyLastLine="0" shrinkToFit="0" readingOrder="2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alignment horizontal="left" vertical="bottom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0.499984740745262"/>
        <name val="Tahoma"/>
        <scheme val="none"/>
      </font>
      <numFmt numFmtId="166" formatCode="0_);\-0_)"/>
      <alignment horizontal="general" vertical="center" textRotation="0" wrapText="0" indent="0" justifyLastLine="0" shrinkToFit="0" readingOrder="2"/>
    </dxf>
    <dxf>
      <alignment horizontal="left" vertical="bottom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name val="Tahoma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scheme val="none"/>
      </font>
      <alignment textRotation="0" indent="0" justifyLastLine="0" shrinkToFit="0" readingOrder="2"/>
    </dxf>
    <dxf>
      <fill>
        <patternFill patternType="none">
          <bgColor auto="1"/>
        </patternFill>
      </fill>
      <border>
        <vertical/>
        <horizontal/>
      </border>
    </dxf>
    <dxf>
      <font>
        <color theme="1" tint="0.14996795556505021"/>
      </font>
    </dxf>
    <dxf>
      <border diagonalUp="0" diagonalDown="0">
        <left style="dotted">
          <color theme="0" tint="-0.34998626667073579"/>
        </left>
        <right style="dotted">
          <color theme="0" tint="-0.34998626667073579"/>
        </right>
        <top style="thin">
          <color theme="0" tint="-0.34998626667073579"/>
        </top>
        <bottom style="dotted">
          <color theme="0" tint="-0.34998626667073579"/>
        </bottom>
        <vertical/>
        <horizontal/>
      </border>
    </dxf>
    <dxf>
      <font>
        <b val="0"/>
        <i val="0"/>
        <color theme="1" tint="0.34998626667073579"/>
      </font>
    </dxf>
    <dxf>
      <font>
        <b val="0"/>
        <i val="0"/>
        <color theme="1" tint="0.14996795556505021"/>
      </font>
      <fill>
        <patternFill patternType="solid">
          <bgColor theme="4" tint="0.79998168889431442"/>
        </patternFill>
      </fill>
      <border>
        <top/>
        <bottom style="medium">
          <color theme="4" tint="0.39994506668294322"/>
        </bottom>
      </border>
    </dxf>
    <dxf>
      <font>
        <b val="0"/>
        <i val="0"/>
        <color theme="1" tint="0.14996795556505021"/>
      </font>
    </dxf>
    <dxf>
      <font>
        <color theme="1" tint="0.499984740745262"/>
      </font>
      <border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dotted">
          <color theme="0" tint="-0.34998626667073579"/>
        </vertical>
        <horizontal style="thin">
          <color theme="0" tint="-0.34998626667073579"/>
        </horizontal>
      </border>
    </dxf>
  </dxfs>
  <tableStyles count="1" defaultTableStyle="Cash Receipts" defaultPivotStyle="PivotStyleLight16">
    <tableStyle name="Cash Receipts" pivot="0" count="7" xr9:uid="{00000000-0011-0000-FFFF-FFFF00000000}">
      <tableStyleElement type="wholeTable" dxfId="262"/>
      <tableStyleElement type="headerRow" dxfId="261"/>
      <tableStyleElement type="totalRow" dxfId="260"/>
      <tableStyleElement type="firstColumn" dxfId="259"/>
      <tableStyleElement type="lastColumn" dxfId="258"/>
      <tableStyleElement type="firstTotalCell" dxfId="257"/>
      <tableStyleElement type="lastTotalCell" dxfId="25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438150</xdr:colOff>
      <xdr:row>0</xdr:row>
      <xdr:rowOff>104776</xdr:rowOff>
    </xdr:from>
    <xdr:to>
      <xdr:col>23</xdr:col>
      <xdr:colOff>323850</xdr:colOff>
      <xdr:row>6</xdr:row>
      <xdr:rowOff>171451</xdr:rowOff>
    </xdr:to>
    <xdr:sp macro="" textlink="">
      <xdr:nvSpPr>
        <xdr:cNvPr id="2" name="תיבת טקסט 1">
          <a:extLst>
            <a:ext uri="{FF2B5EF4-FFF2-40B4-BE49-F238E27FC236}">
              <a16:creationId xmlns:a16="http://schemas.microsoft.com/office/drawing/2014/main" id="{BA8AD329-7A9B-410E-B8F4-A4834C5A4DBE}"/>
            </a:ext>
          </a:extLst>
        </xdr:cNvPr>
        <xdr:cNvSpPr txBox="1"/>
      </xdr:nvSpPr>
      <xdr:spPr>
        <a:xfrm>
          <a:off x="11220049950" y="104776"/>
          <a:ext cx="2628900" cy="137160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he-IL" sz="1100" b="1">
              <a:solidFill>
                <a:schemeClr val="accent3">
                  <a:lumMod val="50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בגיליון זה תוכלו לתכנן את תזרים</a:t>
          </a:r>
          <a:r>
            <a:rPr lang="he-IL" sz="1100" b="1" baseline="0">
              <a:solidFill>
                <a:schemeClr val="accent3">
                  <a:lumMod val="50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המזומנים השנתית. </a:t>
          </a:r>
        </a:p>
        <a:p>
          <a:pPr algn="r" rtl="1"/>
          <a:endParaRPr lang="he-IL" sz="1100" b="1" baseline="0">
            <a:solidFill>
              <a:schemeClr val="accent3">
                <a:lumMod val="50000"/>
              </a:schemeClr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r" rtl="1"/>
          <a:r>
            <a:rPr lang="he-IL" sz="1100" b="1" baseline="0">
              <a:solidFill>
                <a:schemeClr val="accent3">
                  <a:lumMod val="50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תאים בתכלת הינם תאי קלט, הזינו בהם את נתוני העסק הספציפי, וקבלו תחזית תזרים מזומנים עדכנית.</a:t>
          </a:r>
          <a:endParaRPr lang="he-IL" sz="1100" b="1">
            <a:solidFill>
              <a:schemeClr val="accent3">
                <a:lumMod val="50000"/>
              </a:schemeClr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485775</xdr:colOff>
      <xdr:row>0</xdr:row>
      <xdr:rowOff>314325</xdr:rowOff>
    </xdr:from>
    <xdr:to>
      <xdr:col>23</xdr:col>
      <xdr:colOff>371475</xdr:colOff>
      <xdr:row>6</xdr:row>
      <xdr:rowOff>161925</xdr:rowOff>
    </xdr:to>
    <xdr:sp macro="" textlink="">
      <xdr:nvSpPr>
        <xdr:cNvPr id="3" name="תיבת טקסט 2">
          <a:extLst>
            <a:ext uri="{FF2B5EF4-FFF2-40B4-BE49-F238E27FC236}">
              <a16:creationId xmlns:a16="http://schemas.microsoft.com/office/drawing/2014/main" id="{51686699-98F8-4A3B-9E22-827114618426}"/>
            </a:ext>
          </a:extLst>
        </xdr:cNvPr>
        <xdr:cNvSpPr txBox="1"/>
      </xdr:nvSpPr>
      <xdr:spPr>
        <a:xfrm>
          <a:off x="11220002325" y="314325"/>
          <a:ext cx="2628900" cy="137160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he-IL" sz="1100" b="1">
              <a:solidFill>
                <a:schemeClr val="accent3">
                  <a:lumMod val="50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בגיליון זה מוצג תזרים מזומנים בפועל. </a:t>
          </a:r>
          <a:endParaRPr lang="he-IL" sz="1100" b="1" baseline="0">
            <a:solidFill>
              <a:schemeClr val="accent3">
                <a:lumMod val="50000"/>
              </a:schemeClr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r" rtl="1"/>
          <a:r>
            <a:rPr lang="he-IL" sz="1100" b="1" baseline="0">
              <a:solidFill>
                <a:schemeClr val="accent3">
                  <a:lumMod val="50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הגיליון מושך נתונים מגיליונות 'קלט תנועות תשלום', 'קלט תנועות תקבול' ו'תחזית תזרים מזומנים'.</a:t>
          </a:r>
          <a:endParaRPr lang="he-IL" sz="1100" b="1">
            <a:solidFill>
              <a:schemeClr val="accent3">
                <a:lumMod val="50000"/>
              </a:schemeClr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257175</xdr:colOff>
      <xdr:row>0</xdr:row>
      <xdr:rowOff>19050</xdr:rowOff>
    </xdr:from>
    <xdr:to>
      <xdr:col>16</xdr:col>
      <xdr:colOff>190500</xdr:colOff>
      <xdr:row>10</xdr:row>
      <xdr:rowOff>38100</xdr:rowOff>
    </xdr:to>
    <xdr:sp macro="" textlink="">
      <xdr:nvSpPr>
        <xdr:cNvPr id="2" name="תיבת טקסט 1">
          <a:extLst>
            <a:ext uri="{FF2B5EF4-FFF2-40B4-BE49-F238E27FC236}">
              <a16:creationId xmlns:a16="http://schemas.microsoft.com/office/drawing/2014/main" id="{74EC325D-AEFF-4802-A25C-4CCF7AED2CC7}"/>
            </a:ext>
          </a:extLst>
        </xdr:cNvPr>
        <xdr:cNvSpPr txBox="1"/>
      </xdr:nvSpPr>
      <xdr:spPr>
        <a:xfrm>
          <a:off x="11225479200" y="19050"/>
          <a:ext cx="4733925" cy="1457325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he-IL" sz="1800" b="1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שלבי עבודה:</a:t>
          </a:r>
        </a:p>
        <a:p>
          <a:pPr algn="r" rtl="1"/>
          <a:r>
            <a:rPr lang="he-IL" sz="1100" b="1">
              <a:solidFill>
                <a:schemeClr val="accent3">
                  <a:lumMod val="50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א.</a:t>
          </a:r>
          <a:r>
            <a:rPr lang="he-IL" sz="1100" b="1" baseline="0">
              <a:solidFill>
                <a:schemeClr val="accent3">
                  <a:lumMod val="50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ניתן להעתיק תנועות תשלום מקובץ בנק, תנועות אשראי ותנועות הנהלת חשבונות.</a:t>
          </a:r>
        </a:p>
        <a:p>
          <a:pPr algn="r" rtl="1"/>
          <a:r>
            <a:rPr lang="he-IL" sz="1100" b="1" baseline="0">
              <a:solidFill>
                <a:schemeClr val="accent3">
                  <a:lumMod val="50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ב. יש להקפיד להדביק בסדר העמודות המוצג.</a:t>
          </a:r>
        </a:p>
        <a:p>
          <a:pPr algn="r" rtl="1"/>
          <a:r>
            <a:rPr lang="he-IL" sz="1100" b="1" baseline="0">
              <a:solidFill>
                <a:schemeClr val="accent3">
                  <a:lumMod val="50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ג. בכדי שהתנועה תכלל ב'תזרים מזומנים בפועל' יש לבחור בעמודה 'סיווג תשלום' את סעיף התשלום המתאים.</a:t>
          </a:r>
        </a:p>
        <a:p>
          <a:pPr algn="r" rtl="1"/>
          <a:endParaRPr lang="he-IL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257175</xdr:colOff>
      <xdr:row>0</xdr:row>
      <xdr:rowOff>19050</xdr:rowOff>
    </xdr:from>
    <xdr:to>
      <xdr:col>16</xdr:col>
      <xdr:colOff>190500</xdr:colOff>
      <xdr:row>10</xdr:row>
      <xdr:rowOff>38100</xdr:rowOff>
    </xdr:to>
    <xdr:sp macro="" textlink="">
      <xdr:nvSpPr>
        <xdr:cNvPr id="2" name="תיבת טקסט 1">
          <a:extLst>
            <a:ext uri="{FF2B5EF4-FFF2-40B4-BE49-F238E27FC236}">
              <a16:creationId xmlns:a16="http://schemas.microsoft.com/office/drawing/2014/main" id="{ABC079B8-C943-4519-B970-DF672835D3FE}"/>
            </a:ext>
          </a:extLst>
        </xdr:cNvPr>
        <xdr:cNvSpPr txBox="1"/>
      </xdr:nvSpPr>
      <xdr:spPr>
        <a:xfrm>
          <a:off x="11225479200" y="19050"/>
          <a:ext cx="4733925" cy="1457325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he-IL" sz="1800" b="1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שלבי עבודה:</a:t>
          </a:r>
        </a:p>
        <a:p>
          <a:pPr algn="r" rtl="1"/>
          <a:r>
            <a:rPr lang="he-IL" sz="1100" b="0">
              <a:solidFill>
                <a:schemeClr val="accent3">
                  <a:lumMod val="50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א.</a:t>
          </a:r>
          <a:r>
            <a:rPr lang="he-IL" sz="1100" b="0" baseline="0">
              <a:solidFill>
                <a:schemeClr val="accent3">
                  <a:lumMod val="50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ניתן להעתיק תנועות תקבול מקובץ בנק, תנועות אשראי ותנועות הנהלת חשבונות.</a:t>
          </a:r>
        </a:p>
        <a:p>
          <a:pPr algn="r" rtl="1"/>
          <a:r>
            <a:rPr lang="he-IL" sz="1100" b="0" baseline="0">
              <a:solidFill>
                <a:schemeClr val="accent3">
                  <a:lumMod val="50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ב. יש להקפיד להדביק בסדר העמודות המוצג.</a:t>
          </a:r>
        </a:p>
        <a:p>
          <a:pPr algn="r" rtl="1"/>
          <a:r>
            <a:rPr lang="he-IL" sz="1100" b="0" baseline="0">
              <a:solidFill>
                <a:schemeClr val="accent3">
                  <a:lumMod val="50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ג. בכדי שהתנועה תכלל ב'תזרים מזומנים בפועל' יש לבחור בעמודה 'סיווג תקבול' את סעיף התשלום המתאים.</a:t>
          </a:r>
        </a:p>
        <a:p>
          <a:pPr algn="r" rtl="1"/>
          <a:endParaRPr lang="he-IL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7E67D37-BB42-4540-8714-A955CE59157F}" name="CashReceipts5" displayName="CashReceipts5" ref="B12:S13" headerRowCount="0" totalsRowCount="1" headerRowDxfId="255" dataDxfId="254" totalsRowDxfId="253">
  <tableColumns count="18">
    <tableColumn id="1" xr3:uid="{A114DB57-A612-4DFA-B16C-9CAD792B081C}" name="Items" totalsRowLabel="תחזית חודשית תקבולים ממכירות" headerRowDxfId="252" dataDxfId="251" totalsRowDxfId="218"/>
    <tableColumn id="17" xr3:uid="{E5CDA4F5-DF1C-49E0-A699-2DC1F77BC418}" name="Column2" headerRowDxfId="250" dataDxfId="249" totalsRowDxfId="234"/>
    <tableColumn id="2" xr3:uid="{31AD6161-8659-4F6E-B0D0-500702B6EDD5}" name="Period 0" dataDxfId="216" totalsRowDxfId="233" dataCellStyle="Percent"/>
    <tableColumn id="3" xr3:uid="{FF57B14B-B102-4105-99D1-B643498FE139}" name="Period 1" totalsRowFunction="custom" dataDxfId="104" totalsRowDxfId="230" totalsRowCellStyle="Comma">
      <totalsRowFormula array="1">CashReceipts5[Period 1]*$B$11</totalsRowFormula>
    </tableColumn>
    <tableColumn id="4" xr3:uid="{99DCF1F9-8DA0-4130-8DAA-0400C3C7E70F}" name="Period 2" totalsRowFunction="custom" dataDxfId="103" totalsRowDxfId="229" totalsRowCellStyle="Comma">
      <totalsRowFormula array="1">CashReceipts5[Period 2]*$B$11</totalsRowFormula>
    </tableColumn>
    <tableColumn id="5" xr3:uid="{A9F41484-28E7-41D2-ADF3-B53CF8FB8093}" name="Period 3" totalsRowFunction="custom" dataDxfId="102" totalsRowDxfId="228" totalsRowCellStyle="Comma">
      <totalsRowFormula array="1">CashReceipts5[Period 3]*$B$11</totalsRowFormula>
    </tableColumn>
    <tableColumn id="6" xr3:uid="{D0E8F8EB-C5FB-47DF-AF75-A12759F04A43}" name="Period 4" totalsRowFunction="custom" dataDxfId="101" totalsRowDxfId="227" totalsRowCellStyle="Comma">
      <totalsRowFormula array="1">CashReceipts5[Period 4]*$B$11</totalsRowFormula>
    </tableColumn>
    <tableColumn id="7" xr3:uid="{4E7828D8-9537-4F4B-BB70-4E28162A6F82}" name="Period 5" totalsRowFunction="custom" dataDxfId="100" totalsRowDxfId="226" totalsRowCellStyle="Comma">
      <totalsRowFormula array="1">CashReceipts5[Period 5]*$B$11</totalsRowFormula>
    </tableColumn>
    <tableColumn id="8" xr3:uid="{F61BC1FC-3D82-4984-9AFC-DCAA216CDB91}" name="Period 6" totalsRowFunction="custom" dataDxfId="99" totalsRowDxfId="225" totalsRowCellStyle="Comma">
      <totalsRowFormula array="1">CashReceipts5[Period 6]*$B$11</totalsRowFormula>
    </tableColumn>
    <tableColumn id="9" xr3:uid="{776F2D5B-F9E2-4F4F-826C-88526F3839C3}" name="Period 7" totalsRowFunction="custom" dataDxfId="98" totalsRowDxfId="224" totalsRowCellStyle="Comma">
      <totalsRowFormula array="1">CashReceipts5[Period 7]*$B$11</totalsRowFormula>
    </tableColumn>
    <tableColumn id="10" xr3:uid="{994E4312-8796-4C20-8929-1ECF468B4AFA}" name="Period 8" totalsRowFunction="custom" dataDxfId="97" totalsRowDxfId="223" totalsRowCellStyle="Comma">
      <totalsRowFormula array="1">CashReceipts5[Period 8]*$B$11</totalsRowFormula>
    </tableColumn>
    <tableColumn id="11" xr3:uid="{8C773967-7BC2-4ABE-BE5E-6F6F94B47A2F}" name="Period 9" totalsRowFunction="custom" dataDxfId="96" totalsRowDxfId="222" totalsRowCellStyle="Comma">
      <totalsRowFormula array="1">CashReceipts5[Period 9]*$B$11</totalsRowFormula>
    </tableColumn>
    <tableColumn id="12" xr3:uid="{1AC65F42-27A8-438B-953C-8DC3ACAD7D76}" name="Period 10" totalsRowFunction="custom" dataDxfId="95" totalsRowDxfId="221" totalsRowCellStyle="Comma">
      <totalsRowFormula array="1">CashReceipts5[Period 10]*$B$11</totalsRowFormula>
    </tableColumn>
    <tableColumn id="13" xr3:uid="{E1C9FD6F-3FBF-4759-AD14-18A39C20BC5C}" name="Period 11" totalsRowFunction="custom" dataDxfId="94" totalsRowDxfId="220" totalsRowCellStyle="Comma">
      <totalsRowFormula array="1">CashReceipts5[Period 11]*$B$11</totalsRowFormula>
    </tableColumn>
    <tableColumn id="14" xr3:uid="{A2A0441D-B0A6-4C4B-B964-82FECDC8102C}" name="Period 12" totalsRowFunction="custom" dataDxfId="215" totalsRowDxfId="219" totalsRowCellStyle="Comma">
      <calculatedColumnFormula>CashReceipts5[[#This Row],[Total]]-SUM(CashReceipts5[[#This Row],[Period 1]:[Period 11]])</calculatedColumnFormula>
      <totalsRowFormula array="1">CashReceipts5[Period 12]*$B$11</totalsRowFormula>
    </tableColumn>
    <tableColumn id="18" xr3:uid="{5B19BF92-5BFC-4984-8BFD-72828DFA250C}" name="Column3" dataDxfId="248" totalsRowDxfId="231" totalsRowCellStyle="Comma"/>
    <tableColumn id="15" xr3:uid="{3659B93A-DB04-4A08-8B75-EF727B01FDBC}" name="Total" totalsRowFunction="custom" dataDxfId="247" totalsRowDxfId="217" totalsRowCellStyle="Comma">
      <calculatedColumnFormula>SUM(CashReceipts5[[#This Row],[Period 0]:[Period 12]])</calculatedColumnFormula>
      <totalsRowFormula>SUM(CashReceipts5[[#Totals],[Period 1]:[Period 12]])</totalsRowFormula>
    </tableColumn>
    <tableColumn id="16" xr3:uid="{D95D62C8-8296-460D-99DF-310535445F42}" name="Column1" dataDxfId="246" totalsRowDxfId="232"/>
  </tableColumns>
  <tableStyleInfo name="Cash Receipts" showFirstColumn="1" showLastColumn="1" showRowStripes="0" showColumnStripes="0"/>
  <extLst>
    <ext xmlns:x14="http://schemas.microsoft.com/office/spreadsheetml/2009/9/main" uri="{504A1905-F514-4f6f-8877-14C23A59335A}">
      <x14:table altText="קבלות על מזומן" altTextSummary="קבלות על מזומן עבור 12 חודשים החל מהחודש הראשון של שנת הכספים עם סכום כולל מחושב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B7FD428-072C-43C1-88D4-98F8E743C87A}" name="CashPaidOut6" displayName="CashPaidOut6" ref="B18:S22" headerRowCount="0" totalsRowCount="1" headerRowDxfId="245" dataDxfId="244" totalsRowDxfId="243">
  <tableColumns count="18">
    <tableColumn id="1" xr3:uid="{0ADF9BDD-56C5-44C2-9F50-72492A0F4D47}" name="Items" totalsRowLabel="סה&quot;כ" headerRowDxfId="242" dataDxfId="53" totalsRowDxfId="35"/>
    <tableColumn id="17" xr3:uid="{E8CA91FB-F9D8-42FE-94C7-CF1109DA059E}" name="Column2" headerRowDxfId="241" dataDxfId="52" totalsRowDxfId="34"/>
    <tableColumn id="2" xr3:uid="{A4E98472-4F38-46D6-82DD-26690FFBF799}" name="Period 0" totalsRowFunction="sum" dataDxfId="51" totalsRowDxfId="33"/>
    <tableColumn id="3" xr3:uid="{9B126C37-9412-4726-B0C8-45F14FE21C33}" name="Period 1" totalsRowFunction="sum" dataDxfId="50" totalsRowDxfId="32" dataCellStyle="Comma"/>
    <tableColumn id="4" xr3:uid="{7AA1EF20-C5CB-4342-81F0-6EB48F4BE2CC}" name="Period 2" totalsRowFunction="sum" dataDxfId="49" totalsRowDxfId="31" dataCellStyle="Comma"/>
    <tableColumn id="5" xr3:uid="{4BB4A299-2A49-4FF3-AAD6-FB78833D0987}" name="Period 3" totalsRowFunction="sum" dataDxfId="48" totalsRowDxfId="30" dataCellStyle="Comma"/>
    <tableColumn id="6" xr3:uid="{6295E04D-4B5D-4D16-99B9-6C001D455431}" name="Period 4" totalsRowFunction="sum" dataDxfId="47" totalsRowDxfId="29" dataCellStyle="Comma"/>
    <tableColumn id="7" xr3:uid="{79624BA9-32ED-4027-ADAF-16368FBF8FC3}" name="Period 5" totalsRowFunction="sum" dataDxfId="46" totalsRowDxfId="28" dataCellStyle="Comma"/>
    <tableColumn id="8" xr3:uid="{7BB51A7C-757E-4F43-8624-46D6340F58D4}" name="Period 6" totalsRowFunction="sum" dataDxfId="45" totalsRowDxfId="27" dataCellStyle="Comma"/>
    <tableColumn id="9" xr3:uid="{70EDA5EB-B3D0-4773-B429-81D8CDCD6D9E}" name="Period 7" totalsRowFunction="sum" dataDxfId="44" totalsRowDxfId="26" dataCellStyle="Comma"/>
    <tableColumn id="10" xr3:uid="{609C6956-9AA4-4DEE-A889-8390C022CC0E}" name="Period 8" totalsRowFunction="sum" dataDxfId="43" totalsRowDxfId="25" dataCellStyle="Comma"/>
    <tableColumn id="11" xr3:uid="{3CE71190-5DFE-48C1-ACFC-58E66C91EB94}" name="Period 9" totalsRowFunction="sum" dataDxfId="42" totalsRowDxfId="24" dataCellStyle="Comma"/>
    <tableColumn id="12" xr3:uid="{348F4489-7154-405A-A4AA-BF53963EBC1B}" name="Period 10" totalsRowFunction="sum" dataDxfId="41" totalsRowDxfId="23" dataCellStyle="Comma"/>
    <tableColumn id="13" xr3:uid="{D854397C-47F6-414D-BACF-8D20F3DB3D60}" name="Period 11" totalsRowFunction="sum" dataDxfId="40" totalsRowDxfId="22" dataCellStyle="Comma"/>
    <tableColumn id="14" xr3:uid="{ABCB7D53-D8F3-492F-9FC8-4C65B0B17772}" name="Period 12" totalsRowFunction="sum" dataDxfId="39" totalsRowDxfId="21" dataCellStyle="Comma"/>
    <tableColumn id="18" xr3:uid="{0275C8EC-59AF-48D7-98FA-2B40C38475BC}" name="Column3" dataDxfId="38" totalsRowDxfId="20"/>
    <tableColumn id="15" xr3:uid="{FBC35A10-17AF-41D9-B1C1-87DCA2255028}" name="Total" totalsRowFunction="sum" dataDxfId="37" totalsRowDxfId="19">
      <calculatedColumnFormula>SUM(CashPaidOut6[[#This Row],[Period 0]:[Period 12]])</calculatedColumnFormula>
    </tableColumn>
    <tableColumn id="16" xr3:uid="{861E993C-3F41-4BAA-8D62-30AB21DE6417}" name="Column1" dataDxfId="36" totalsRowDxfId="18"/>
  </tableColumns>
  <tableStyleInfo name="Cash Receipts" showFirstColumn="1" showLastColumn="1" showRowStripes="0" showColumnStripes="0"/>
  <extLst>
    <ext xmlns:x14="http://schemas.microsoft.com/office/spreadsheetml/2009/9/main" uri="{504A1905-F514-4f6f-8877-14C23A59335A}">
      <x14:table altText="מזומן ששולם" altTextSummary="מזומן ששולם במשך 12 חודשים החל מהחודש הראשון של שנת הכספים עם סכום כולל מחושב.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9DE6846-1A4F-4F0F-9936-3FC58ACE19BF}" name="CashPaidOut27" displayName="CashPaidOut27" ref="B25:S28" headerRowCount="0" totalsRowCount="1" headerRowDxfId="240" dataDxfId="239" totalsRowDxfId="238">
  <tableColumns count="18">
    <tableColumn id="1" xr3:uid="{825CE556-EA74-420D-8A5C-0C9A185A5847}" name="Items" totalsRowLabel="סה&quot;כ" headerRowDxfId="237" dataDxfId="214" totalsRowDxfId="17"/>
    <tableColumn id="17" xr3:uid="{D1EC8F4E-A330-4941-BF19-49DD07F000FC}" name="Column2" headerRowDxfId="236" dataDxfId="213" totalsRowDxfId="16"/>
    <tableColumn id="2" xr3:uid="{216B0761-5200-4825-B27E-677ACBC0F4CA}" name="Period 0" totalsRowFunction="sum" dataDxfId="212" totalsRowDxfId="15"/>
    <tableColumn id="3" xr3:uid="{789863D5-8C91-4439-BB6D-7F33A387A7B9}" name="Period 1" totalsRowFunction="sum" dataDxfId="93" totalsRowDxfId="14" dataCellStyle="Comma"/>
    <tableColumn id="4" xr3:uid="{49E629B3-ACFE-4494-B786-C21BC86435AF}" name="Period 2" totalsRowFunction="sum" dataDxfId="92" totalsRowDxfId="13" dataCellStyle="Comma"/>
    <tableColumn id="5" xr3:uid="{3E88928D-66E7-4CBF-8032-1918FC6827B1}" name="Period 3" totalsRowFunction="sum" dataDxfId="91" totalsRowDxfId="12" dataCellStyle="Comma"/>
    <tableColumn id="6" xr3:uid="{1E087CF2-6996-46E4-B310-183B83FEB39F}" name="Period 4" totalsRowFunction="sum" dataDxfId="90" totalsRowDxfId="11" dataCellStyle="Comma"/>
    <tableColumn id="7" xr3:uid="{283B7A98-82C5-422C-859A-F6E7081A7538}" name="Period 5" totalsRowFunction="sum" dataDxfId="89" totalsRowDxfId="10" dataCellStyle="Comma"/>
    <tableColumn id="8" xr3:uid="{0CC5BFF2-4E07-47FE-881F-AEA9419EAD26}" name="Period 6" totalsRowFunction="sum" dataDxfId="88" totalsRowDxfId="9" dataCellStyle="Comma"/>
    <tableColumn id="9" xr3:uid="{865F8CEB-02E8-4876-A37E-37D063C6F357}" name="Period 7" totalsRowFunction="sum" dataDxfId="87" totalsRowDxfId="8" dataCellStyle="Comma"/>
    <tableColumn id="10" xr3:uid="{C33839A1-344D-4C88-9734-F0D413B6D3F6}" name="Period 8" totalsRowFunction="sum" dataDxfId="86" totalsRowDxfId="7" dataCellStyle="Comma"/>
    <tableColumn id="11" xr3:uid="{8D196321-E9C2-44C9-9E4E-CC8F76344222}" name="Period 9" totalsRowFunction="sum" dataDxfId="85" totalsRowDxfId="6" dataCellStyle="Comma"/>
    <tableColumn id="12" xr3:uid="{28F5938C-3946-46A8-A9FB-6E27EAD7A116}" name="Period 10" totalsRowFunction="sum" dataDxfId="84" totalsRowDxfId="5" dataCellStyle="Comma"/>
    <tableColumn id="13" xr3:uid="{E18C8EC1-A07E-4827-9805-6DA0E456E1D0}" name="Period 11" totalsRowFunction="sum" dataDxfId="83" totalsRowDxfId="4" dataCellStyle="Comma"/>
    <tableColumn id="14" xr3:uid="{3614D5FA-C867-4B66-A817-DE212F035736}" name="Period 12" totalsRowFunction="sum" dataDxfId="82" totalsRowDxfId="3" dataCellStyle="Comma"/>
    <tableColumn id="18" xr3:uid="{54DC168F-6A2C-4483-854A-7BBE6D678030}" name="Column3" dataDxfId="211" totalsRowDxfId="2"/>
    <tableColumn id="15" xr3:uid="{C5416CD2-FEA0-4A84-9A28-9FFC9370E956}" name="Total" totalsRowFunction="sum" dataDxfId="210" totalsRowDxfId="1">
      <calculatedColumnFormula>SUM(CashPaidOut27[[#This Row],[Period 0]:[Period 12]])</calculatedColumnFormula>
    </tableColumn>
    <tableColumn id="16" xr3:uid="{D71415EA-6640-4359-945F-62B1B2C97235}" name="Column1" dataDxfId="235" totalsRowDxfId="0"/>
  </tableColumns>
  <tableStyleInfo name="Cash Receipts" showFirstColumn="1" showLastColumn="1" showRowStripes="0" showColumnStripes="0"/>
  <extLst>
    <ext xmlns:x14="http://schemas.microsoft.com/office/spreadsheetml/2009/9/main" uri="{504A1905-F514-4f6f-8877-14C23A59335A}">
      <x14:table altText="מזומן ששולם (לא רווח והפסד)" altTextSummary="מזומן שהתקבל (לא רווח והפסד) במשך 12 חודשים החל מהחודש הראשון של שנת הכספים עם סכום כולל מחושב.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BFB7E66-0185-4F19-B917-BC00D9BE1535}" name="CashReceipts58" displayName="CashReceipts58" ref="B10:S13" headerRowCount="0" totalsRowCount="1" headerRowDxfId="209" dataDxfId="208" totalsRowDxfId="207">
  <tableColumns count="18">
    <tableColumn id="1" xr3:uid="{70F49082-0C99-4394-B9AB-68970F7E4C4B}" name="Items" totalsRowLabel="תחזית חודשית תקבולים ממכירות" headerRowDxfId="206" dataDxfId="160" totalsRowDxfId="71"/>
    <tableColumn id="17" xr3:uid="{D8A29F6A-80AB-4F75-9F71-63A2BCE4307D}" name="Column2" headerRowDxfId="205" dataDxfId="159" totalsRowDxfId="70"/>
    <tableColumn id="2" xr3:uid="{C8C10054-738C-46DC-8FD8-B4C85E549C93}" name="Period 0" dataDxfId="156" totalsRowDxfId="69" dataCellStyle="Percent"/>
    <tableColumn id="3" xr3:uid="{1303CA09-EA9F-44EF-82B5-AA7237863356}" name="Period 1" totalsRowFunction="custom" dataDxfId="155" totalsRowDxfId="68">
      <calculatedColumnFormula>SUMIFS('קלט תנועות תקבול'!$C:$C,'קלט תנועות תקבול'!$G:$G,CashReceipts58[[#This Row],[Items]],'קלט תנועות תקבול'!$H:$H,'תזרים מזומנים בפועל'!E$2)</calculatedColumnFormula>
      <totalsRowFormula>CashReceipts5[[#Totals],[Period 1]]</totalsRowFormula>
    </tableColumn>
    <tableColumn id="4" xr3:uid="{DF575051-595E-4A44-8F94-6253A01A8D99}" name="Period 2" totalsRowFunction="custom" dataDxfId="154" totalsRowDxfId="67">
      <totalsRowFormula>CashReceipts5[[#Totals],[Period 2]]</totalsRowFormula>
    </tableColumn>
    <tableColumn id="5" xr3:uid="{7990A366-5267-48F5-86F5-3C16997DEEDA}" name="Period 3" totalsRowFunction="custom" dataDxfId="153" totalsRowDxfId="66">
      <totalsRowFormula>CashReceipts5[[#Totals],[Period 3]]</totalsRowFormula>
    </tableColumn>
    <tableColumn id="6" xr3:uid="{D09B627C-C09B-4E5E-AD82-3885F74F9F9C}" name="Period 4" totalsRowFunction="custom" dataDxfId="152" totalsRowDxfId="65">
      <totalsRowFormula>CashReceipts5[[#Totals],[Period 4]]</totalsRowFormula>
    </tableColumn>
    <tableColumn id="7" xr3:uid="{8E10C0D4-A43B-4027-A6F7-85B7D5A3F92B}" name="Period 5" totalsRowFunction="custom" dataDxfId="151" totalsRowDxfId="64">
      <totalsRowFormula>CashReceipts5[[#Totals],[Period 5]]</totalsRowFormula>
    </tableColumn>
    <tableColumn id="8" xr3:uid="{94320909-C0F5-48EF-9C76-1A1F33A16269}" name="Period 6" totalsRowFunction="custom" dataDxfId="150" totalsRowDxfId="63">
      <totalsRowFormula>CashReceipts5[[#Totals],[Period 6]]</totalsRowFormula>
    </tableColumn>
    <tableColumn id="9" xr3:uid="{5DFA6E70-66ED-4F2B-806A-5489B8395315}" name="Period 7" totalsRowFunction="custom" dataDxfId="149" totalsRowDxfId="62">
      <totalsRowFormula>CashReceipts5[[#Totals],[Period 7]]</totalsRowFormula>
    </tableColumn>
    <tableColumn id="10" xr3:uid="{EC54F578-3ACD-450C-8D74-F2AF1D7A3FBB}" name="Period 8" totalsRowFunction="custom" dataDxfId="148" totalsRowDxfId="61">
      <totalsRowFormula>CashReceipts5[[#Totals],[Period 8]]</totalsRowFormula>
    </tableColumn>
    <tableColumn id="11" xr3:uid="{4AEF36A3-E1FC-4C20-AA7C-7DEFECA54483}" name="Period 9" totalsRowFunction="custom" dataDxfId="147" totalsRowDxfId="60">
      <totalsRowFormula>CashReceipts5[[#Totals],[Period 9]]</totalsRowFormula>
    </tableColumn>
    <tableColumn id="12" xr3:uid="{24A4FE3F-9A9F-4B86-9BB1-5E4F538F5812}" name="Period 10" totalsRowFunction="custom" dataDxfId="146" totalsRowDxfId="59">
      <totalsRowFormula>CashReceipts5[[#Totals],[Period 10]]</totalsRowFormula>
    </tableColumn>
    <tableColumn id="13" xr3:uid="{537E7629-CE46-4A9C-ABED-55C0344B8733}" name="Period 11" totalsRowFunction="custom" dataDxfId="145" totalsRowDxfId="58">
      <totalsRowFormula>CashReceipts5[[#Totals],[Period 11]]</totalsRowFormula>
    </tableColumn>
    <tableColumn id="14" xr3:uid="{D735E036-0D28-4FD5-88C6-038F16A1E838}" name="Period 12" totalsRowFunction="custom" dataDxfId="143" totalsRowDxfId="57">
      <calculatedColumnFormula>CashReceipts58[[#This Row],[Total]]-SUM(CashReceipts58[[#This Row],[Period 1]:[Period 11]])</calculatedColumnFormula>
      <totalsRowFormula>CashReceipts5[[#Totals],[Period 12]]</totalsRowFormula>
    </tableColumn>
    <tableColumn id="18" xr3:uid="{A63534FB-1411-4824-A964-36EB2A7FE4DA}" name="Column3" dataDxfId="144" totalsRowDxfId="56"/>
    <tableColumn id="15" xr3:uid="{43184C06-3DC2-40F5-842B-AC9E30A13535}" name="Total" totalsRowFunction="custom" dataDxfId="157" totalsRowDxfId="55">
      <calculatedColumnFormula>SUM(CashReceipts58[[#This Row],[Period 1]:[Period 12]])</calculatedColumnFormula>
      <totalsRowFormula>SUM(CashReceipts58[[#Totals],[Period 1]:[Period 12]])</totalsRowFormula>
    </tableColumn>
    <tableColumn id="16" xr3:uid="{84F6933E-075A-4387-A527-3D2AA978570F}" name="Column1" dataDxfId="158" totalsRowDxfId="54"/>
  </tableColumns>
  <tableStyleInfo name="Cash Receipts" showFirstColumn="1" showLastColumn="1" showRowStripes="0" showColumnStripes="0"/>
  <extLst>
    <ext xmlns:x14="http://schemas.microsoft.com/office/spreadsheetml/2009/9/main" uri="{504A1905-F514-4f6f-8877-14C23A59335A}">
      <x14:table altText="קבלות על מזומן" altTextSummary="קבלות על מזומן עבור 12 חודשים החל מהחודש הראשון של שנת הכספים עם סכום כולל מחושב.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9D5DE43-BE08-4A14-B8E7-3C78B12F08B5}" name="CashPaidOut69" displayName="CashPaidOut69" ref="B19:S23" headerRowCount="0" totalsRowCount="1" headerRowDxfId="204" dataDxfId="203" totalsRowDxfId="202">
  <tableColumns count="18">
    <tableColumn id="1" xr3:uid="{567B7A4B-E1D3-4112-8C74-7C91E0171E89}" name="Items" totalsRowLabel="סה&quot;כ" headerRowDxfId="201" dataDxfId="200" totalsRowDxfId="141"/>
    <tableColumn id="17" xr3:uid="{B5967718-0AD5-40B0-8367-C014B50871FE}" name="Column2" headerRowDxfId="199" dataDxfId="198" totalsRowDxfId="140"/>
    <tableColumn id="2" xr3:uid="{2CAD2A5C-0E42-4F86-9139-7A5E35FB4B9A}" name="Period 0" totalsRowFunction="sum" dataDxfId="197" totalsRowDxfId="139"/>
    <tableColumn id="3" xr3:uid="{E91CEBCC-27AD-42C0-8DBA-5271B7D682F7}" name="Period 1" totalsRowFunction="sum" dataDxfId="142" totalsRowDxfId="138" dataCellStyle="Comma">
      <calculatedColumnFormula>SUMIFS('קלט תנועות תשלום'!$C:$C,'קלט תנועות תשלום'!$G:$G,'תזרים מזומנים בפועל'!$B19,'קלט תנועות תשלום'!$H:$H,'תזרים מזומנים בפועל'!E$2)</calculatedColumnFormula>
    </tableColumn>
    <tableColumn id="4" xr3:uid="{376AAFEF-A7EF-4D47-A1C8-0C525E248B90}" name="Period 2" totalsRowFunction="sum" dataDxfId="196" totalsRowDxfId="137" dataCellStyle="Comma">
      <calculatedColumnFormula>SUMIFS('קלט תנועות תשלום'!$C:$C,'קלט תנועות תשלום'!$G:$G,'תזרים מזומנים בפועל'!$B19,'קלט תנועות תשלום'!$H:$H,'תזרים מזומנים בפועל'!F$2)</calculatedColumnFormula>
    </tableColumn>
    <tableColumn id="5" xr3:uid="{BE3AFF29-7797-4F8D-97C1-74574CEB22B5}" name="Period 3" totalsRowFunction="sum" dataDxfId="195" totalsRowDxfId="136" dataCellStyle="Comma">
      <calculatedColumnFormula>SUMIFS('קלט תנועות תשלום'!$C:$C,'קלט תנועות תשלום'!$G:$G,'תזרים מזומנים בפועל'!$B19,'קלט תנועות תשלום'!$H:$H,'תזרים מזומנים בפועל'!G$2)</calculatedColumnFormula>
    </tableColumn>
    <tableColumn id="6" xr3:uid="{F6AD28B4-ABE9-4EC5-8616-78AC0B02CCB2}" name="Period 4" totalsRowFunction="sum" dataDxfId="194" totalsRowDxfId="135" dataCellStyle="Comma">
      <calculatedColumnFormula>SUMIFS('קלט תנועות תשלום'!$C:$C,'קלט תנועות תשלום'!$G:$G,'תזרים מזומנים בפועל'!$B19,'קלט תנועות תשלום'!$H:$H,'תזרים מזומנים בפועל'!H$2)</calculatedColumnFormula>
    </tableColumn>
    <tableColumn id="7" xr3:uid="{FFDCFF0B-F6BA-45DF-80BA-5A11B0317BA3}" name="Period 5" totalsRowFunction="sum" dataDxfId="193" totalsRowDxfId="134" dataCellStyle="Comma">
      <calculatedColumnFormula>SUMIFS('קלט תנועות תשלום'!$C:$C,'קלט תנועות תשלום'!$G:$G,'תזרים מזומנים בפועל'!$B19,'קלט תנועות תשלום'!$H:$H,'תזרים מזומנים בפועל'!I$2)</calculatedColumnFormula>
    </tableColumn>
    <tableColumn id="8" xr3:uid="{8EB3BB9D-E943-4BAE-A300-9F3FE5321992}" name="Period 6" totalsRowFunction="sum" dataDxfId="192" totalsRowDxfId="133" dataCellStyle="Comma">
      <calculatedColumnFormula>SUMIFS('קלט תנועות תשלום'!$C:$C,'קלט תנועות תשלום'!$G:$G,'תזרים מזומנים בפועל'!$B19,'קלט תנועות תשלום'!$H:$H,'תזרים מזומנים בפועל'!J$2)</calculatedColumnFormula>
    </tableColumn>
    <tableColumn id="9" xr3:uid="{F2C22866-4893-443F-AB4B-CDE7A81C1F5D}" name="Period 7" totalsRowFunction="sum" dataDxfId="191" totalsRowDxfId="132" dataCellStyle="Comma">
      <calculatedColumnFormula>SUMIFS('קלט תנועות תשלום'!$C:$C,'קלט תנועות תשלום'!$G:$G,'תזרים מזומנים בפועל'!$B19,'קלט תנועות תשלום'!$H:$H,'תזרים מזומנים בפועל'!K$2)</calculatedColumnFormula>
    </tableColumn>
    <tableColumn id="10" xr3:uid="{E04E9476-165F-48DD-8D56-E38FCC38DD60}" name="Period 8" totalsRowFunction="sum" dataDxfId="190" totalsRowDxfId="131" dataCellStyle="Comma">
      <calculatedColumnFormula>SUMIFS('קלט תנועות תשלום'!$C:$C,'קלט תנועות תשלום'!$G:$G,'תזרים מזומנים בפועל'!$B19,'קלט תנועות תשלום'!$H:$H,'תזרים מזומנים בפועל'!L$2)</calculatedColumnFormula>
    </tableColumn>
    <tableColumn id="11" xr3:uid="{2D2C3266-7EB3-46E4-945F-0D022767154D}" name="Period 9" totalsRowFunction="sum" dataDxfId="189" totalsRowDxfId="130" dataCellStyle="Comma">
      <calculatedColumnFormula>SUMIFS('קלט תנועות תשלום'!$C:$C,'קלט תנועות תשלום'!$G:$G,'תזרים מזומנים בפועל'!$B19,'קלט תנועות תשלום'!$H:$H,'תזרים מזומנים בפועל'!M$2)</calculatedColumnFormula>
    </tableColumn>
    <tableColumn id="12" xr3:uid="{A271E54B-E00C-4FF1-83E1-849405367049}" name="Period 10" totalsRowFunction="sum" dataDxfId="188" totalsRowDxfId="129" dataCellStyle="Comma">
      <calculatedColumnFormula>SUMIFS('קלט תנועות תשלום'!$C:$C,'קלט תנועות תשלום'!$G:$G,'תזרים מזומנים בפועל'!$B19,'קלט תנועות תשלום'!$H:$H,'תזרים מזומנים בפועל'!N$2)</calculatedColumnFormula>
    </tableColumn>
    <tableColumn id="13" xr3:uid="{400A3D4A-D288-4778-BD96-A7416557648B}" name="Period 11" totalsRowFunction="sum" dataDxfId="187" totalsRowDxfId="128" dataCellStyle="Comma">
      <calculatedColumnFormula>SUMIFS('קלט תנועות תשלום'!$C:$C,'קלט תנועות תשלום'!$G:$G,'תזרים מזומנים בפועל'!$B19,'קלט תנועות תשלום'!$H:$H,'תזרים מזומנים בפועל'!O$2)</calculatedColumnFormula>
    </tableColumn>
    <tableColumn id="14" xr3:uid="{254E95B4-7ED3-4850-844B-C040714DF057}" name="Period 12" totalsRowFunction="sum" dataDxfId="186" totalsRowDxfId="127" dataCellStyle="Comma">
      <calculatedColumnFormula>SUMIFS('קלט תנועות תשלום'!$C:$C,'קלט תנועות תשלום'!$G:$G,'תזרים מזומנים בפועל'!$B19,'קלט תנועות תשלום'!$H:$H,'תזרים מזומנים בפועל'!P$2)</calculatedColumnFormula>
    </tableColumn>
    <tableColumn id="18" xr3:uid="{70082FF1-5349-4824-B9E5-8C369649BC7D}" name="Column3" dataDxfId="185" totalsRowDxfId="126"/>
    <tableColumn id="15" xr3:uid="{8CEA0148-C5BA-4F28-8F64-C8DFD10B1A17}" name="Total" totalsRowFunction="sum" dataDxfId="184" totalsRowDxfId="125">
      <calculatedColumnFormula>SUM(CashPaidOut69[[#This Row],[Period 0]:[Period 12]])</calculatedColumnFormula>
    </tableColumn>
    <tableColumn id="16" xr3:uid="{2CA6C8E6-A473-4993-989C-1FF7E795D128}" name="Column1" dataDxfId="183" totalsRowDxfId="124"/>
  </tableColumns>
  <tableStyleInfo name="Cash Receipts" showFirstColumn="1" showLastColumn="1" showRowStripes="0" showColumnStripes="0"/>
  <extLst>
    <ext xmlns:x14="http://schemas.microsoft.com/office/spreadsheetml/2009/9/main" uri="{504A1905-F514-4f6f-8877-14C23A59335A}">
      <x14:table altText="מזומן ששולם" altTextSummary="מזומן ששולם במשך 12 חודשים החל מהחודש הראשון של שנת הכספים עם סכום כולל מחושב.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54FE618-D7BE-467F-8E20-35FE4323B40B}" name="CashPaidOut2710" displayName="CashPaidOut2710" ref="B28:S31" headerRowCount="0" totalsRowCount="1" headerRowDxfId="182" dataDxfId="181" totalsRowDxfId="180">
  <tableColumns count="18">
    <tableColumn id="1" xr3:uid="{3F035478-272F-464E-8F5B-7CB89E6E79FA}" name="Items" totalsRowLabel="סה&quot;כ תשלומים אחרים" headerRowDxfId="179" dataDxfId="178" totalsRowDxfId="122"/>
    <tableColumn id="17" xr3:uid="{97CF61FF-77CC-4ED7-928A-B1A94EFC720D}" name="Column2" headerRowDxfId="177" dataDxfId="176" totalsRowDxfId="121"/>
    <tableColumn id="2" xr3:uid="{31BC7CC1-12B6-4CD4-B15F-FD8A74772D4E}" name="Period 0" totalsRowFunction="sum" dataDxfId="175" totalsRowDxfId="120"/>
    <tableColumn id="3" xr3:uid="{22211869-49DE-467A-B044-E89312EC65BB}" name="Period 1" totalsRowFunction="sum" dataDxfId="123" totalsRowDxfId="119" dataCellStyle="Comma">
      <calculatedColumnFormula>SUMIFS('קלט תנועות תשלום'!$C:$C,'קלט תנועות תשלום'!$G:$G,'תזרים מזומנים בפועל'!$B28,'קלט תנועות תשלום'!$H:$H,'תזרים מזומנים בפועל'!E$2)</calculatedColumnFormula>
    </tableColumn>
    <tableColumn id="4" xr3:uid="{E5343528-72B2-47BE-914A-4A58724AC1CE}" name="Period 2" totalsRowFunction="sum" dataDxfId="174" totalsRowDxfId="118" dataCellStyle="Comma">
      <calculatedColumnFormula>SUMIFS('קלט תנועות תשלום'!$C:$C,'קלט תנועות תשלום'!$G:$G,'תזרים מזומנים בפועל'!$B28,'קלט תנועות תשלום'!$H:$H,'תזרים מזומנים בפועל'!F$2)</calculatedColumnFormula>
    </tableColumn>
    <tableColumn id="5" xr3:uid="{D0A5FC64-9827-4717-B5BD-41C838902629}" name="Period 3" totalsRowFunction="sum" dataDxfId="173" totalsRowDxfId="117" dataCellStyle="Comma">
      <calculatedColumnFormula>SUMIFS('קלט תנועות תשלום'!$C:$C,'קלט תנועות תשלום'!$G:$G,'תזרים מזומנים בפועל'!$B28,'קלט תנועות תשלום'!$H:$H,'תזרים מזומנים בפועל'!G$2)</calculatedColumnFormula>
    </tableColumn>
    <tableColumn id="6" xr3:uid="{29381455-B5C0-4F12-A28F-C4EA8E25E4D7}" name="Period 4" totalsRowFunction="sum" dataDxfId="172" totalsRowDxfId="116" dataCellStyle="Comma">
      <calculatedColumnFormula>SUMIFS('קלט תנועות תשלום'!$C:$C,'קלט תנועות תשלום'!$G:$G,'תזרים מזומנים בפועל'!$B28,'קלט תנועות תשלום'!$H:$H,'תזרים מזומנים בפועל'!H$2)</calculatedColumnFormula>
    </tableColumn>
    <tableColumn id="7" xr3:uid="{4B99F823-997A-4E73-9B32-74D9E1ECBDB1}" name="Period 5" totalsRowFunction="sum" dataDxfId="171" totalsRowDxfId="115" dataCellStyle="Comma">
      <calculatedColumnFormula>SUMIFS('קלט תנועות תשלום'!$C:$C,'קלט תנועות תשלום'!$G:$G,'תזרים מזומנים בפועל'!$B28,'קלט תנועות תשלום'!$H:$H,'תזרים מזומנים בפועל'!I$2)</calculatedColumnFormula>
    </tableColumn>
    <tableColumn id="8" xr3:uid="{6A3C9960-A3A2-4FC5-95E0-08D4A49AD9EB}" name="Period 6" totalsRowFunction="sum" dataDxfId="170" totalsRowDxfId="114" dataCellStyle="Comma">
      <calculatedColumnFormula>SUMIFS('קלט תנועות תשלום'!$C:$C,'קלט תנועות תשלום'!$G:$G,'תזרים מזומנים בפועל'!$B28,'קלט תנועות תשלום'!$H:$H,'תזרים מזומנים בפועל'!J$2)</calculatedColumnFormula>
    </tableColumn>
    <tableColumn id="9" xr3:uid="{E26B03FA-5BFC-425B-9B75-AC2463D395C6}" name="Period 7" totalsRowFunction="sum" dataDxfId="169" totalsRowDxfId="113" dataCellStyle="Comma">
      <calculatedColumnFormula>SUMIFS('קלט תנועות תשלום'!$C:$C,'קלט תנועות תשלום'!$G:$G,'תזרים מזומנים בפועל'!$B28,'קלט תנועות תשלום'!$H:$H,'תזרים מזומנים בפועל'!K$2)</calculatedColumnFormula>
    </tableColumn>
    <tableColumn id="10" xr3:uid="{5D634E95-7664-46C5-8DE3-5CB6691A3590}" name="Period 8" totalsRowFunction="sum" dataDxfId="168" totalsRowDxfId="112" dataCellStyle="Comma">
      <calculatedColumnFormula>SUMIFS('קלט תנועות תשלום'!$C:$C,'קלט תנועות תשלום'!$G:$G,'תזרים מזומנים בפועל'!$B28,'קלט תנועות תשלום'!$H:$H,'תזרים מזומנים בפועל'!L$2)</calculatedColumnFormula>
    </tableColumn>
    <tableColumn id="11" xr3:uid="{408FBC7D-5FC6-4792-B7BC-A77A57BDA303}" name="Period 9" totalsRowFunction="sum" dataDxfId="167" totalsRowDxfId="111" dataCellStyle="Comma">
      <calculatedColumnFormula>SUMIFS('קלט תנועות תשלום'!$C:$C,'קלט תנועות תשלום'!$G:$G,'תזרים מזומנים בפועל'!$B28,'קלט תנועות תשלום'!$H:$H,'תזרים מזומנים בפועל'!M$2)</calculatedColumnFormula>
    </tableColumn>
    <tableColumn id="12" xr3:uid="{8425857E-BE20-447D-BBE5-2ACD8EE34910}" name="Period 10" totalsRowFunction="sum" dataDxfId="166" totalsRowDxfId="110" dataCellStyle="Comma">
      <calculatedColumnFormula>SUMIFS('קלט תנועות תשלום'!$C:$C,'קלט תנועות תשלום'!$G:$G,'תזרים מזומנים בפועל'!$B28,'קלט תנועות תשלום'!$H:$H,'תזרים מזומנים בפועל'!N$2)</calculatedColumnFormula>
    </tableColumn>
    <tableColumn id="13" xr3:uid="{D8B8E887-CE88-4899-9513-83477AD20F1A}" name="Period 11" totalsRowFunction="sum" dataDxfId="165" totalsRowDxfId="109" dataCellStyle="Comma">
      <calculatedColumnFormula>SUMIFS('קלט תנועות תשלום'!$C:$C,'קלט תנועות תשלום'!$G:$G,'תזרים מזומנים בפועל'!$B28,'קלט תנועות תשלום'!$H:$H,'תזרים מזומנים בפועל'!O$2)</calculatedColumnFormula>
    </tableColumn>
    <tableColumn id="14" xr3:uid="{4918A33B-446C-4666-9E4F-0296F2B0C480}" name="Period 12" totalsRowFunction="sum" dataDxfId="164" totalsRowDxfId="108" dataCellStyle="Comma">
      <calculatedColumnFormula>SUMIFS('קלט תנועות תשלום'!$C:$C,'קלט תנועות תשלום'!$G:$G,'תזרים מזומנים בפועל'!$B28,'קלט תנועות תשלום'!$H:$H,'תזרים מזומנים בפועל'!P$2)</calculatedColumnFormula>
    </tableColumn>
    <tableColumn id="18" xr3:uid="{C954868A-3B43-4060-99DC-799740241251}" name="Column3" dataDxfId="163" totalsRowDxfId="107"/>
    <tableColumn id="15" xr3:uid="{FCAA86EA-3CDC-48E8-87B9-F0632B537C82}" name="Total" totalsRowFunction="sum" dataDxfId="162" totalsRowDxfId="106">
      <calculatedColumnFormula>SUM(CashPaidOut2710[[#This Row],[Period 0]:[Period 12]])</calculatedColumnFormula>
    </tableColumn>
    <tableColumn id="16" xr3:uid="{3134DB8E-9294-4398-BAD2-2BB441DA0B6A}" name="Column1" dataDxfId="161" totalsRowDxfId="105"/>
  </tableColumns>
  <tableStyleInfo name="Cash Receipts" showFirstColumn="1" showLastColumn="1" showRowStripes="0" showColumnStripes="0"/>
  <extLst>
    <ext xmlns:x14="http://schemas.microsoft.com/office/spreadsheetml/2009/9/main" uri="{504A1905-F514-4f6f-8877-14C23A59335A}">
      <x14:table altText="מזומן ששולם (לא רווח והפסד)" altTextSummary="מזומן שהתקבל (לא רווח והפסד) במשך 12 חודשים החל מהחודש הראשון של שנת הכספים עם סכום כולל מחושב."/>
    </ext>
  </extLst>
</table>
</file>

<file path=xl/theme/theme1.xml><?xml version="1.0" encoding="utf-8"?>
<a:theme xmlns:a="http://schemas.openxmlformats.org/drawingml/2006/main" name="Office Theme">
  <a:themeElements>
    <a:clrScheme name="Cash Flow Statement">
      <a:dk1>
        <a:sysClr val="windowText" lastClr="000000"/>
      </a:dk1>
      <a:lt1>
        <a:sysClr val="window" lastClr="FFFFFF"/>
      </a:lt1>
      <a:dk2>
        <a:srgbClr val="313F55"/>
      </a:dk2>
      <a:lt2>
        <a:srgbClr val="F2F2F2"/>
      </a:lt2>
      <a:accent1>
        <a:srgbClr val="308DA2"/>
      </a:accent1>
      <a:accent2>
        <a:srgbClr val="EB7A20"/>
      </a:accent2>
      <a:accent3>
        <a:srgbClr val="009D00"/>
      </a:accent3>
      <a:accent4>
        <a:srgbClr val="9D4CA4"/>
      </a:accent4>
      <a:accent5>
        <a:srgbClr val="FFC000"/>
      </a:accent5>
      <a:accent6>
        <a:srgbClr val="DC3220"/>
      </a:accent6>
      <a:hlink>
        <a:srgbClr val="1AA2B5"/>
      </a:hlink>
      <a:folHlink>
        <a:srgbClr val="9D4CA4"/>
      </a:folHlink>
    </a:clrScheme>
    <a:fontScheme name="Cash Flow Statement">
      <a:majorFont>
        <a:latin typeface="Franklin Gothic Medium"/>
        <a:ea typeface=""/>
        <a:cs typeface=""/>
      </a:majorFont>
      <a:minorFont>
        <a:latin typeface="Franklin Gothic Medium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17871-4E0F-4A1F-AEB9-C1F5975BA14E}">
  <sheetPr>
    <tabColor theme="4" tint="-0.249977111117893"/>
  </sheetPr>
  <dimension ref="A2:C25"/>
  <sheetViews>
    <sheetView rightToLeft="1" tabSelected="1" zoomScaleNormal="100" workbookViewId="0">
      <selection activeCell="B9" sqref="B9"/>
    </sheetView>
  </sheetViews>
  <sheetFormatPr defaultRowHeight="12.75" x14ac:dyDescent="0.25"/>
  <cols>
    <col min="1" max="1" width="24.875" style="70" customWidth="1"/>
    <col min="2" max="2" width="10.875" style="70" customWidth="1"/>
    <col min="3" max="3" width="11.375" style="70" bestFit="1" customWidth="1"/>
    <col min="4" max="16384" width="9" style="70"/>
  </cols>
  <sheetData>
    <row r="2" spans="1:3" ht="30.75" thickBot="1" x14ac:dyDescent="0.45">
      <c r="A2" s="124" t="s">
        <v>55</v>
      </c>
    </row>
    <row r="3" spans="1:3" ht="13.5" thickTop="1" x14ac:dyDescent="0.25"/>
    <row r="5" spans="1:3" ht="18" x14ac:dyDescent="0.25">
      <c r="A5" s="6" t="s">
        <v>56</v>
      </c>
      <c r="B5" s="122" t="s">
        <v>58</v>
      </c>
      <c r="C5" s="123">
        <f>HLOOKUP(B5,'תחזית תזרים מזומנים'!$E$4:$P$5,2,0)</f>
        <v>1</v>
      </c>
    </row>
    <row r="6" spans="1:3" ht="18" x14ac:dyDescent="0.25">
      <c r="A6" s="6" t="s">
        <v>57</v>
      </c>
      <c r="B6" s="122" t="s">
        <v>66</v>
      </c>
      <c r="C6" s="123">
        <f>HLOOKUP(B6,'תחזית תזרים מזומנים'!$E$4:$P$5,2,0)</f>
        <v>5</v>
      </c>
    </row>
    <row r="7" spans="1:3" ht="14.25" x14ac:dyDescent="0.25">
      <c r="B7" s="107"/>
      <c r="C7" s="107"/>
    </row>
    <row r="8" spans="1:3" ht="15" thickBot="1" x14ac:dyDescent="0.3">
      <c r="B8" s="107"/>
      <c r="C8" s="107"/>
    </row>
    <row r="9" spans="1:3" ht="19.5" customHeight="1" x14ac:dyDescent="0.2">
      <c r="A9" s="125"/>
      <c r="B9" s="126" t="s">
        <v>60</v>
      </c>
      <c r="C9" s="127" t="s">
        <v>61</v>
      </c>
    </row>
    <row r="10" spans="1:3" ht="19.5" customHeight="1" thickBot="1" x14ac:dyDescent="0.3">
      <c r="A10" s="113" t="s">
        <v>59</v>
      </c>
      <c r="B10" s="110">
        <f>HLOOKUP(B5,'תחזית תזרים מזומנים'!$B$4:$S$8,5,0)</f>
        <v>110</v>
      </c>
      <c r="C10" s="114">
        <f>HLOOKUP(B5,'תזרים מזומנים בפועל'!$B$3:$P$7,5,0)</f>
        <v>110</v>
      </c>
    </row>
    <row r="11" spans="1:3" ht="19.5" customHeight="1" x14ac:dyDescent="0.25">
      <c r="A11" s="115"/>
      <c r="B11" s="111"/>
      <c r="C11" s="116"/>
    </row>
    <row r="12" spans="1:3" ht="19.5" customHeight="1" x14ac:dyDescent="0.25">
      <c r="A12" s="117" t="s">
        <v>62</v>
      </c>
      <c r="B12" s="112">
        <f>SUMIFS(CashReceipts5[[#Totals],[Period 1]:[Period 12]],'תחזית תזרים מזומנים'!$E$5:$P$5,"&gt;="&amp;$C$5,'תחזית תזרים מזומנים'!$E$5:$P$5,"&lt;="&amp;$C$6)</f>
        <v>74</v>
      </c>
      <c r="C12" s="118">
        <f>SUMIFS(CashReceipts58[[#This Row],[Period 1]:[Period 12]],'תזרים מזומנים בפועל'!$E$4:$P$4,"&gt;="&amp;$C$5,'תזרים מזומנים בפועל'!$E$4:$P$4,"&lt;="&amp;$C$6)</f>
        <v>150</v>
      </c>
    </row>
    <row r="13" spans="1:3" ht="19.5" customHeight="1" x14ac:dyDescent="0.25">
      <c r="A13" s="117" t="s">
        <v>63</v>
      </c>
      <c r="B13" s="112">
        <f>SUMIFS(CashPaidOut6[[#Totals],[Period 1]:[Period 12]],'תחזית תזרים מזומנים'!$E$5:$P$5,"&gt;="&amp;$C$5,'תחזית תזרים מזומנים'!$E$5:$P$5,"&lt;="&amp;$C$6)</f>
        <v>200</v>
      </c>
      <c r="C13" s="118">
        <f>SUMIFS(CashPaidOut69[[#Totals],[Period 1]:[Period 12]],'תזרים מזומנים בפועל'!$E$4:$P$4,"&gt;="&amp;$C$5,'תזרים מזומנים בפועל'!$E$4:$P$4,"&lt;="&amp;$C$6)</f>
        <v>500</v>
      </c>
    </row>
    <row r="14" spans="1:3" ht="19.5" customHeight="1" thickBot="1" x14ac:dyDescent="0.3">
      <c r="A14" s="119" t="s">
        <v>65</v>
      </c>
      <c r="B14" s="38">
        <f>B12-B13</f>
        <v>-126</v>
      </c>
      <c r="C14" s="120">
        <f>C12-C13</f>
        <v>-350</v>
      </c>
    </row>
    <row r="15" spans="1:3" ht="19.5" customHeight="1" x14ac:dyDescent="0.25">
      <c r="A15" s="117"/>
      <c r="B15" s="112"/>
      <c r="C15" s="118"/>
    </row>
    <row r="16" spans="1:3" ht="19.5" customHeight="1" x14ac:dyDescent="0.25">
      <c r="A16" s="117" t="s">
        <v>64</v>
      </c>
      <c r="B16" s="112">
        <f>SUMIFS('תחזית תזרים מזומנים'!$E$14:$P$14,'תחזית תזרים מזומנים'!$E$5:$P$5,"&gt;="&amp;$C$5,'תחזית תזרים מזומנים'!$E$5:$P$5,"&lt;="&amp;$C$6)</f>
        <v>0</v>
      </c>
      <c r="C16" s="118">
        <f>SUMIFS('תזרים מזומנים בפועל'!$E$15:$P$15,'תזרים מזומנים בפועל'!$E$4:$P$4,"&gt;="&amp;$C$5,'תזרים מזומנים בפועל'!$E$4:$P$4,"&lt;="&amp;$C$6)</f>
        <v>0</v>
      </c>
    </row>
    <row r="17" spans="1:3" ht="19.5" customHeight="1" x14ac:dyDescent="0.25">
      <c r="A17" s="117" t="s">
        <v>17</v>
      </c>
      <c r="B17" s="112">
        <f>SUMIFS('תחזית תזרים מזומנים'!$E$28:$P$28,'תחזית תזרים מזומנים'!$E$5:$P$5,"&gt;="&amp;$C$5,'תחזית תזרים מזומנים'!$E$5:$P$5,"&lt;="&amp;$C$6)</f>
        <v>60</v>
      </c>
      <c r="C17" s="118">
        <f>SUMIFS('תזרים מזומנים בפועל'!$E$31:$P$31,'תזרים מזומנים בפועל'!$E$4:$P$4,"&gt;="&amp;$C$5,'תזרים מזומנים בפועל'!$E$4:$P$4,"&lt;="&amp;$C$6)</f>
        <v>0</v>
      </c>
    </row>
    <row r="18" spans="1:3" ht="19.5" customHeight="1" thickBot="1" x14ac:dyDescent="0.3">
      <c r="A18" s="119" t="s">
        <v>68</v>
      </c>
      <c r="B18" s="128">
        <f>B16-B17</f>
        <v>-60</v>
      </c>
      <c r="C18" s="129">
        <f>C16-C17</f>
        <v>0</v>
      </c>
    </row>
    <row r="19" spans="1:3" ht="19.5" customHeight="1" x14ac:dyDescent="0.25">
      <c r="A19" s="121"/>
      <c r="B19" s="130"/>
      <c r="C19" s="131"/>
    </row>
    <row r="20" spans="1:3" ht="19.5" customHeight="1" thickBot="1" x14ac:dyDescent="0.3">
      <c r="A20" s="132" t="s">
        <v>67</v>
      </c>
      <c r="B20" s="133">
        <f>B10+B14+B18</f>
        <v>-76</v>
      </c>
      <c r="C20" s="134">
        <f>C10+C14+C18</f>
        <v>-240</v>
      </c>
    </row>
    <row r="21" spans="1:3" ht="14.25" x14ac:dyDescent="0.25">
      <c r="B21" s="107"/>
      <c r="C21" s="107"/>
    </row>
    <row r="22" spans="1:3" ht="14.25" x14ac:dyDescent="0.25">
      <c r="B22" s="107"/>
      <c r="C22" s="107"/>
    </row>
    <row r="23" spans="1:3" ht="14.25" x14ac:dyDescent="0.25">
      <c r="B23" s="107"/>
      <c r="C23" s="107"/>
    </row>
    <row r="24" spans="1:3" ht="14.25" x14ac:dyDescent="0.25">
      <c r="B24" s="107"/>
      <c r="C24" s="107"/>
    </row>
    <row r="25" spans="1:3" ht="14.25" x14ac:dyDescent="0.25">
      <c r="B25" s="107"/>
      <c r="C25" s="107"/>
    </row>
  </sheetData>
  <sheetProtection algorithmName="SHA-512" hashValue="k2Yg/78/yzpXMJs6H5CtIw9lZ6qPQ1tEmg/NXTtvX8Xzu7gkf+KhpoaBsvNV+HL4TSwOPXpVPDz+SMF67+vYFQ==" saltValue="tZwa3Ci4V56uZ6ZkfE7jqw==" spinCount="100000" sheet="1" objects="1" scenarios="1"/>
  <pageMargins left="0.7" right="0.7" top="0.75" bottom="0.75" header="0.3" footer="0.3"/>
  <pageSetup paperSize="9" orientation="portrait" r:id="rId1"/>
  <headerFooter>
    <oddHeader>&amp;L&amp;"Tahoma,רגיל"&amp;D&amp;C&amp;"Tahoma,רגיל"&amp;F
&amp;A</oddHeader>
    <oddFooter>&amp;C&amp;"Tahoma,רגיל"&amp;9מודל תזרים מזומנים, 
נערך ע"י רו"ח טובי קרויזר
tovi19@gmail.com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E42E574-1502-41E1-9D8B-64AFEB7BB196}">
          <x14:formula1>
            <xm:f>'תחזית תזרים מזומנים'!$E$4:$P$4</xm:f>
          </x14:formula1>
          <xm:sqref>B5:B6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DF7D3-CB72-45FB-A1D3-3EF0DD2712D4}">
  <sheetPr>
    <tabColor theme="4"/>
    <pageSetUpPr fitToPage="1"/>
  </sheetPr>
  <dimension ref="B1:S31"/>
  <sheetViews>
    <sheetView showGridLines="0" rightToLeft="1" topLeftCell="A4" zoomScaleNormal="100" workbookViewId="0">
      <selection activeCell="B12" sqref="B12"/>
    </sheetView>
  </sheetViews>
  <sheetFormatPr defaultRowHeight="17.25" customHeight="1" x14ac:dyDescent="0.25"/>
  <cols>
    <col min="1" max="1" width="2.25" style="4" customWidth="1"/>
    <col min="2" max="2" width="32.625" style="4" customWidth="1"/>
    <col min="3" max="3" width="2.875" style="4" customWidth="1"/>
    <col min="4" max="4" width="9.375" style="4" customWidth="1"/>
    <col min="5" max="16" width="9.625" style="4" customWidth="1"/>
    <col min="17" max="17" width="2.875" style="4" customWidth="1"/>
    <col min="18" max="18" width="10.75" style="4" customWidth="1"/>
    <col min="19" max="16384" width="9" style="4"/>
  </cols>
  <sheetData>
    <row r="1" spans="2:19" ht="42" customHeight="1" thickBot="1" x14ac:dyDescent="0.5">
      <c r="B1" s="1" t="s">
        <v>22</v>
      </c>
      <c r="C1" s="2"/>
      <c r="D1" s="2"/>
      <c r="E1" s="3"/>
      <c r="F1" s="2"/>
      <c r="G1" s="2"/>
      <c r="H1" s="108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2:19" ht="22.5" customHeight="1" thickTop="1" x14ac:dyDescent="0.25">
      <c r="Q2" s="5"/>
    </row>
    <row r="4" spans="2:19" ht="25.5" customHeight="1" x14ac:dyDescent="0.25">
      <c r="B4" s="6" t="s">
        <v>1</v>
      </c>
      <c r="D4" s="7" t="s">
        <v>2</v>
      </c>
      <c r="E4" s="8" t="str">
        <f>UPPER(TEXT(FiscalYearStartDate,"mmm"))</f>
        <v>ינו</v>
      </c>
      <c r="F4" s="8" t="str">
        <f>UPPER(TEXT(EOMONTH(FiscalYearStartDate,1),"mmm"))</f>
        <v>פבר</v>
      </c>
      <c r="G4" s="8" t="str">
        <f>UPPER(TEXT(EOMONTH(FiscalYearStartDate,2),"mmm"))</f>
        <v>מרץ</v>
      </c>
      <c r="H4" s="8" t="str">
        <f>UPPER(TEXT(EOMONTH(FiscalYearStartDate,3),"mmm"))</f>
        <v>אפר</v>
      </c>
      <c r="I4" s="8" t="str">
        <f>UPPER(TEXT(EOMONTH(FiscalYearStartDate,4),"mmm"))</f>
        <v>מאי</v>
      </c>
      <c r="J4" s="8" t="str">
        <f>UPPER(TEXT(EOMONTH(FiscalYearStartDate,5),"mmm"))</f>
        <v>יונ</v>
      </c>
      <c r="K4" s="8" t="str">
        <f>UPPER(TEXT(EOMONTH(FiscalYearStartDate,6),"mmm"))</f>
        <v>יול</v>
      </c>
      <c r="L4" s="8" t="str">
        <f>UPPER(TEXT(EOMONTH(FiscalYearStartDate,7),"mmm"))</f>
        <v>אוג</v>
      </c>
      <c r="M4" s="8" t="str">
        <f>UPPER(TEXT(EOMONTH(FiscalYearStartDate,8),"mmm"))</f>
        <v>ספט</v>
      </c>
      <c r="N4" s="8" t="str">
        <f>UPPER(TEXT(EOMONTH(FiscalYearStartDate,9),"mmm"))</f>
        <v>אוק</v>
      </c>
      <c r="O4" s="8" t="str">
        <f>UPPER(TEXT(EOMONTH(FiscalYearStartDate,10),"mmm"))</f>
        <v>נוב</v>
      </c>
      <c r="P4" s="8" t="str">
        <f>UPPER(TEXT(EOMONTH(FiscalYearStartDate,11),"mmm"))</f>
        <v>דצמ</v>
      </c>
      <c r="Q4" s="9"/>
      <c r="R4" s="10" t="s">
        <v>3</v>
      </c>
      <c r="S4" s="11"/>
    </row>
    <row r="5" spans="2:19" ht="10.5" customHeight="1" x14ac:dyDescent="0.25">
      <c r="E5" s="4">
        <f>MONTH(FiscalYearStartDate)</f>
        <v>1</v>
      </c>
      <c r="F5" s="4">
        <f>E5+1</f>
        <v>2</v>
      </c>
      <c r="G5" s="4">
        <f t="shared" ref="G5:P5" si="0">F5+1</f>
        <v>3</v>
      </c>
      <c r="H5" s="4">
        <f t="shared" si="0"/>
        <v>4</v>
      </c>
      <c r="I5" s="4">
        <f t="shared" si="0"/>
        <v>5</v>
      </c>
      <c r="J5" s="4">
        <f t="shared" si="0"/>
        <v>6</v>
      </c>
      <c r="K5" s="4">
        <f t="shared" si="0"/>
        <v>7</v>
      </c>
      <c r="L5" s="4">
        <f t="shared" si="0"/>
        <v>8</v>
      </c>
      <c r="M5" s="4">
        <f t="shared" si="0"/>
        <v>9</v>
      </c>
      <c r="N5" s="4">
        <f t="shared" si="0"/>
        <v>10</v>
      </c>
      <c r="O5" s="4">
        <f t="shared" si="0"/>
        <v>11</v>
      </c>
      <c r="P5" s="4">
        <f t="shared" si="0"/>
        <v>12</v>
      </c>
      <c r="Q5" s="5"/>
    </row>
    <row r="6" spans="2:19" ht="12.75" customHeight="1" thickBot="1" x14ac:dyDescent="0.25">
      <c r="B6" s="104">
        <v>43831</v>
      </c>
      <c r="D6" s="13" t="s">
        <v>0</v>
      </c>
      <c r="E6" s="14">
        <f>FiscalYearStartDate</f>
        <v>43831</v>
      </c>
      <c r="F6" s="14">
        <f t="shared" ref="F6" si="1">EOMONTH(E6,0)+DAY(FiscalYearStartDate)</f>
        <v>43862</v>
      </c>
      <c r="G6" s="14">
        <f t="shared" ref="G6" si="2">EOMONTH(F6,0)+DAY(FiscalYearStartDate)</f>
        <v>43891</v>
      </c>
      <c r="H6" s="14">
        <f t="shared" ref="H6" si="3">EOMONTH(G6,0)+DAY(FiscalYearStartDate)</f>
        <v>43922</v>
      </c>
      <c r="I6" s="14">
        <f t="shared" ref="I6" si="4">EOMONTH(H6,0)+DAY(FiscalYearStartDate)</f>
        <v>43952</v>
      </c>
      <c r="J6" s="14">
        <f t="shared" ref="J6" si="5">EOMONTH(I6,0)+DAY(FiscalYearStartDate)</f>
        <v>43983</v>
      </c>
      <c r="K6" s="14">
        <f t="shared" ref="K6" si="6">EOMONTH(J6,0)+DAY(FiscalYearStartDate)</f>
        <v>44013</v>
      </c>
      <c r="L6" s="14">
        <f t="shared" ref="L6" si="7">EOMONTH(K6,0)+DAY(FiscalYearStartDate)</f>
        <v>44044</v>
      </c>
      <c r="M6" s="14">
        <f t="shared" ref="M6" si="8">EOMONTH(L6,0)+DAY(FiscalYearStartDate)</f>
        <v>44075</v>
      </c>
      <c r="N6" s="14">
        <f t="shared" ref="N6" si="9">EOMONTH(M6,0)+DAY(FiscalYearStartDate)</f>
        <v>44105</v>
      </c>
      <c r="O6" s="14">
        <f t="shared" ref="O6" si="10">EOMONTH(N6,0)+DAY(FiscalYearStartDate)</f>
        <v>44136</v>
      </c>
      <c r="P6" s="14">
        <f t="shared" ref="P6" si="11">EOMONTH(O6,0)+DAY(FiscalYearStartDate)</f>
        <v>44166</v>
      </c>
      <c r="Q6" s="15"/>
      <c r="R6" s="7" t="s">
        <v>4</v>
      </c>
      <c r="S6" s="11"/>
    </row>
    <row r="7" spans="2:19" ht="17.25" customHeight="1" thickTop="1" x14ac:dyDescent="0.2">
      <c r="B7" s="12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8"/>
      <c r="R7" s="19"/>
      <c r="S7" s="11"/>
    </row>
    <row r="8" spans="2:19" ht="17.25" customHeight="1" thickBot="1" x14ac:dyDescent="0.25">
      <c r="B8" s="36" t="s">
        <v>10</v>
      </c>
      <c r="D8" s="20">
        <v>100</v>
      </c>
      <c r="E8" s="20">
        <f>D31</f>
        <v>110</v>
      </c>
      <c r="F8" s="20">
        <f t="shared" ref="F8:P8" si="12">E31</f>
        <v>70</v>
      </c>
      <c r="G8" s="20">
        <f t="shared" si="12"/>
        <v>30</v>
      </c>
      <c r="H8" s="20">
        <f t="shared" si="12"/>
        <v>4</v>
      </c>
      <c r="I8" s="20">
        <f t="shared" si="12"/>
        <v>-36</v>
      </c>
      <c r="J8" s="20">
        <f t="shared" si="12"/>
        <v>-76</v>
      </c>
      <c r="K8" s="20">
        <f t="shared" si="12"/>
        <v>-116</v>
      </c>
      <c r="L8" s="20">
        <f t="shared" si="12"/>
        <v>-146</v>
      </c>
      <c r="M8" s="20">
        <f t="shared" si="12"/>
        <v>-186</v>
      </c>
      <c r="N8" s="20">
        <f t="shared" si="12"/>
        <v>-222</v>
      </c>
      <c r="O8" s="20">
        <f t="shared" si="12"/>
        <v>-252</v>
      </c>
      <c r="P8" s="20">
        <f t="shared" si="12"/>
        <v>-282</v>
      </c>
      <c r="Q8" s="21"/>
      <c r="R8" s="20">
        <f>P8</f>
        <v>-282</v>
      </c>
      <c r="S8" s="22"/>
    </row>
    <row r="9" spans="2:19" ht="17.25" customHeight="1" x14ac:dyDescent="0.25">
      <c r="Q9" s="23"/>
    </row>
    <row r="10" spans="2:19" ht="17.25" customHeight="1" x14ac:dyDescent="0.25">
      <c r="B10" s="24" t="s">
        <v>12</v>
      </c>
      <c r="Q10" s="23"/>
    </row>
    <row r="11" spans="2:19" ht="17.25" customHeight="1" x14ac:dyDescent="0.25">
      <c r="B11" s="101">
        <v>200</v>
      </c>
      <c r="Q11" s="23"/>
    </row>
    <row r="12" spans="2:19" ht="17.25" customHeight="1" x14ac:dyDescent="0.25">
      <c r="B12" s="37" t="s">
        <v>11</v>
      </c>
      <c r="C12" s="23"/>
      <c r="D12" s="46"/>
      <c r="E12" s="102">
        <v>0.05</v>
      </c>
      <c r="F12" s="102">
        <v>0.05</v>
      </c>
      <c r="G12" s="102">
        <v>0.12</v>
      </c>
      <c r="H12" s="102">
        <v>0.1</v>
      </c>
      <c r="I12" s="102">
        <v>0.05</v>
      </c>
      <c r="J12" s="102">
        <v>0.05</v>
      </c>
      <c r="K12" s="102">
        <v>0.1</v>
      </c>
      <c r="L12" s="102">
        <v>0.05</v>
      </c>
      <c r="M12" s="102">
        <v>0.12</v>
      </c>
      <c r="N12" s="102">
        <v>0.1</v>
      </c>
      <c r="O12" s="102">
        <v>0.1</v>
      </c>
      <c r="P12" s="46">
        <f>CashReceipts5[[#This Row],[Total]]-SUM(CashReceipts5[[#This Row],[Period 1]:[Period 11]])</f>
        <v>0.10999999999999999</v>
      </c>
      <c r="Q12" s="25"/>
      <c r="R12" s="45">
        <v>1</v>
      </c>
    </row>
    <row r="13" spans="2:19" ht="17.25" customHeight="1" thickBot="1" x14ac:dyDescent="0.3">
      <c r="B13" s="54" t="s">
        <v>13</v>
      </c>
      <c r="C13" s="26"/>
      <c r="D13" s="47"/>
      <c r="E13" s="51" cm="1">
        <f t="array" ref="E13">CashReceipts5[Period 1]*$B$11</f>
        <v>10</v>
      </c>
      <c r="F13" s="51" cm="1">
        <f t="array" ref="F13">CashReceipts5[Period 2]*$B$11</f>
        <v>10</v>
      </c>
      <c r="G13" s="51" cm="1">
        <f t="array" ref="G13">CashReceipts5[Period 3]*$B$11</f>
        <v>24</v>
      </c>
      <c r="H13" s="51" cm="1">
        <f t="array" ref="H13">CashReceipts5[Period 4]*$B$11</f>
        <v>20</v>
      </c>
      <c r="I13" s="51" cm="1">
        <f t="array" ref="I13">CashReceipts5[Period 5]*$B$11</f>
        <v>10</v>
      </c>
      <c r="J13" s="51" cm="1">
        <f t="array" ref="J13">CashReceipts5[Period 6]*$B$11</f>
        <v>10</v>
      </c>
      <c r="K13" s="51" cm="1">
        <f t="array" ref="K13">CashReceipts5[Period 7]*$B$11</f>
        <v>20</v>
      </c>
      <c r="L13" s="51" cm="1">
        <f t="array" ref="L13">CashReceipts5[Period 8]*$B$11</f>
        <v>10</v>
      </c>
      <c r="M13" s="51" cm="1">
        <f t="array" ref="M13">CashReceipts5[Period 9]*$B$11</f>
        <v>24</v>
      </c>
      <c r="N13" s="51" cm="1">
        <f t="array" ref="N13">CashReceipts5[Period 10]*$B$11</f>
        <v>20</v>
      </c>
      <c r="O13" s="51" cm="1">
        <f t="array" ref="O13">CashReceipts5[Period 11]*$B$11</f>
        <v>20</v>
      </c>
      <c r="P13" s="51" cm="1">
        <f t="array" ref="P13">CashReceipts5[Period 12]*$B$11</f>
        <v>21.999999999999996</v>
      </c>
      <c r="Q13" s="48"/>
      <c r="R13" s="55">
        <f>SUM(CashReceipts5[[#Totals],[Period 1]:[Period 12]])</f>
        <v>200</v>
      </c>
    </row>
    <row r="14" spans="2:19" ht="17.25" customHeight="1" thickTop="1" x14ac:dyDescent="0.25">
      <c r="B14" s="40" t="s">
        <v>64</v>
      </c>
      <c r="C14" s="23"/>
      <c r="D14" s="103">
        <v>10</v>
      </c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30"/>
      <c r="R14" s="31"/>
      <c r="S14" s="32"/>
    </row>
    <row r="15" spans="2:19" ht="17.25" customHeight="1" thickBot="1" x14ac:dyDescent="0.3">
      <c r="B15" s="38" t="s">
        <v>6</v>
      </c>
      <c r="C15" s="27"/>
      <c r="D15" s="52">
        <f>D8+SUM(CashReceipts5[Period 0])+D14</f>
        <v>110</v>
      </c>
      <c r="E15" s="53">
        <f>E8+CashReceipts5[[#Totals],[Period 1]]+E14</f>
        <v>120</v>
      </c>
      <c r="F15" s="53">
        <f>F8+CashReceipts5[[#Totals],[Period 2]]+F14</f>
        <v>80</v>
      </c>
      <c r="G15" s="53">
        <f>G8+CashReceipts5[[#Totals],[Period 3]]+G14</f>
        <v>54</v>
      </c>
      <c r="H15" s="53">
        <f>H8+CashReceipts5[[#Totals],[Period 4]]+H14</f>
        <v>24</v>
      </c>
      <c r="I15" s="53">
        <f>I8+CashReceipts5[[#Totals],[Period 5]]+I14</f>
        <v>-26</v>
      </c>
      <c r="J15" s="53">
        <f>J8+CashReceipts5[[#Totals],[Period 6]]+J14</f>
        <v>-66</v>
      </c>
      <c r="K15" s="53">
        <f>K8+CashReceipts5[[#Totals],[Period 7]]+K14</f>
        <v>-96</v>
      </c>
      <c r="L15" s="53">
        <f>L8+CashReceipts5[[#Totals],[Period 8]]+L14</f>
        <v>-136</v>
      </c>
      <c r="M15" s="53">
        <f>M8+CashReceipts5[[#Totals],[Period 9]]+M14</f>
        <v>-162</v>
      </c>
      <c r="N15" s="53">
        <f>N8+CashReceipts5[[#Totals],[Period 10]]+N14</f>
        <v>-202</v>
      </c>
      <c r="O15" s="53">
        <f>O8+CashReceipts5[[#Totals],[Period 11]]+O14</f>
        <v>-232</v>
      </c>
      <c r="P15" s="53">
        <f>P8+CashReceipts5[[#Totals],[Period 12]]+P14</f>
        <v>-260</v>
      </c>
      <c r="Q15" s="50"/>
      <c r="R15" s="49">
        <f>R8+CashReceipts5[[#Totals],[Total]]</f>
        <v>-82</v>
      </c>
      <c r="S15" s="28"/>
    </row>
    <row r="16" spans="2:19" ht="17.25" customHeight="1" x14ac:dyDescent="0.2"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</row>
    <row r="17" spans="2:19" ht="17.25" customHeight="1" x14ac:dyDescent="0.2">
      <c r="B17" s="39" t="s">
        <v>18</v>
      </c>
      <c r="C17" s="23"/>
      <c r="Q17" s="23"/>
    </row>
    <row r="18" spans="2:19" ht="17.25" customHeight="1" x14ac:dyDescent="0.25">
      <c r="B18" s="40" t="s">
        <v>14</v>
      </c>
      <c r="C18" s="23"/>
      <c r="D18" s="29"/>
      <c r="E18" s="103">
        <v>10</v>
      </c>
      <c r="F18" s="103">
        <v>10</v>
      </c>
      <c r="G18" s="103">
        <v>10</v>
      </c>
      <c r="H18" s="103">
        <v>10</v>
      </c>
      <c r="I18" s="103">
        <v>10</v>
      </c>
      <c r="J18" s="103">
        <v>10</v>
      </c>
      <c r="K18" s="103">
        <v>10</v>
      </c>
      <c r="L18" s="103">
        <v>10</v>
      </c>
      <c r="M18" s="103">
        <v>10</v>
      </c>
      <c r="N18" s="103">
        <v>10</v>
      </c>
      <c r="O18" s="103">
        <v>10</v>
      </c>
      <c r="P18" s="103">
        <v>10</v>
      </c>
      <c r="Q18" s="30"/>
      <c r="R18" s="31">
        <f>SUM(CashPaidOut6[[#This Row],[Period 0]:[Period 12]])</f>
        <v>120</v>
      </c>
      <c r="S18" s="32"/>
    </row>
    <row r="19" spans="2:19" ht="17.25" customHeight="1" x14ac:dyDescent="0.25">
      <c r="B19" s="40" t="s">
        <v>15</v>
      </c>
      <c r="C19" s="23"/>
      <c r="D19" s="29"/>
      <c r="E19" s="103">
        <v>10</v>
      </c>
      <c r="F19" s="103">
        <v>10</v>
      </c>
      <c r="G19" s="103">
        <v>10</v>
      </c>
      <c r="H19" s="103">
        <v>10</v>
      </c>
      <c r="I19" s="103">
        <v>10</v>
      </c>
      <c r="J19" s="103">
        <v>10</v>
      </c>
      <c r="K19" s="103">
        <v>10</v>
      </c>
      <c r="L19" s="103">
        <v>10</v>
      </c>
      <c r="M19" s="103">
        <v>10</v>
      </c>
      <c r="N19" s="103">
        <v>10</v>
      </c>
      <c r="O19" s="103">
        <v>10</v>
      </c>
      <c r="P19" s="103">
        <v>10</v>
      </c>
      <c r="Q19" s="30"/>
      <c r="R19" s="31">
        <f>SUM(CashPaidOut6[[#This Row],[Period 0]:[Period 12]])</f>
        <v>120</v>
      </c>
      <c r="S19" s="32"/>
    </row>
    <row r="20" spans="2:19" ht="17.25" customHeight="1" x14ac:dyDescent="0.25">
      <c r="B20" s="40" t="s">
        <v>7</v>
      </c>
      <c r="C20" s="23"/>
      <c r="D20" s="29"/>
      <c r="E20" s="103">
        <v>10</v>
      </c>
      <c r="F20" s="103">
        <v>10</v>
      </c>
      <c r="G20" s="103">
        <v>10</v>
      </c>
      <c r="H20" s="103">
        <v>10</v>
      </c>
      <c r="I20" s="103">
        <v>10</v>
      </c>
      <c r="J20" s="103">
        <v>10</v>
      </c>
      <c r="K20" s="103">
        <v>10</v>
      </c>
      <c r="L20" s="103">
        <v>10</v>
      </c>
      <c r="M20" s="103">
        <v>10</v>
      </c>
      <c r="N20" s="103">
        <v>10</v>
      </c>
      <c r="O20" s="103">
        <v>10</v>
      </c>
      <c r="P20" s="103">
        <v>10</v>
      </c>
      <c r="Q20" s="30"/>
      <c r="R20" s="31">
        <f>SUM(CashPaidOut6[[#This Row],[Period 0]:[Period 12]])</f>
        <v>120</v>
      </c>
      <c r="S20" s="32"/>
    </row>
    <row r="21" spans="2:19" ht="17.25" customHeight="1" x14ac:dyDescent="0.25">
      <c r="B21" s="40" t="s">
        <v>16</v>
      </c>
      <c r="C21" s="23"/>
      <c r="D21" s="29"/>
      <c r="E21" s="103">
        <v>10</v>
      </c>
      <c r="F21" s="103">
        <v>10</v>
      </c>
      <c r="G21" s="103">
        <v>10</v>
      </c>
      <c r="H21" s="103">
        <v>10</v>
      </c>
      <c r="I21" s="103">
        <v>10</v>
      </c>
      <c r="J21" s="103">
        <v>10</v>
      </c>
      <c r="K21" s="103">
        <v>10</v>
      </c>
      <c r="L21" s="103">
        <v>10</v>
      </c>
      <c r="M21" s="103">
        <v>10</v>
      </c>
      <c r="N21" s="103">
        <v>10</v>
      </c>
      <c r="O21" s="103">
        <v>10</v>
      </c>
      <c r="P21" s="103">
        <v>10</v>
      </c>
      <c r="Q21" s="30"/>
      <c r="R21" s="31">
        <f>SUM(CashPaidOut6[[#This Row],[Period 0]:[Period 12]])</f>
        <v>120</v>
      </c>
      <c r="S21" s="32"/>
    </row>
    <row r="22" spans="2:19" ht="17.25" customHeight="1" thickBot="1" x14ac:dyDescent="0.3">
      <c r="B22" s="94" t="s">
        <v>3</v>
      </c>
      <c r="C22" s="23"/>
      <c r="D22" s="135">
        <f>SUBTOTAL(109,CashPaidOut6[Period 0])</f>
        <v>0</v>
      </c>
      <c r="E22" s="91">
        <f>SUBTOTAL(109,CashPaidOut6[Period 1])</f>
        <v>40</v>
      </c>
      <c r="F22" s="91">
        <f>SUBTOTAL(109,CashPaidOut6[Period 2])</f>
        <v>40</v>
      </c>
      <c r="G22" s="91">
        <f>SUBTOTAL(109,CashPaidOut6[Period 3])</f>
        <v>40</v>
      </c>
      <c r="H22" s="91">
        <f>SUBTOTAL(109,CashPaidOut6[Period 4])</f>
        <v>40</v>
      </c>
      <c r="I22" s="91">
        <f>SUBTOTAL(109,CashPaidOut6[Period 5])</f>
        <v>40</v>
      </c>
      <c r="J22" s="91">
        <f>SUBTOTAL(109,CashPaidOut6[Period 6])</f>
        <v>40</v>
      </c>
      <c r="K22" s="91">
        <f>SUBTOTAL(109,CashPaidOut6[Period 7])</f>
        <v>40</v>
      </c>
      <c r="L22" s="91">
        <f>SUBTOTAL(109,CashPaidOut6[Period 8])</f>
        <v>40</v>
      </c>
      <c r="M22" s="91">
        <f>SUBTOTAL(109,CashPaidOut6[Period 9])</f>
        <v>40</v>
      </c>
      <c r="N22" s="91">
        <f>SUBTOTAL(109,CashPaidOut6[Period 10])</f>
        <v>40</v>
      </c>
      <c r="O22" s="91">
        <f>SUBTOTAL(109,CashPaidOut6[Period 11])</f>
        <v>40</v>
      </c>
      <c r="P22" s="91">
        <f>SUBTOTAL(109,CashPaidOut6[Period 12])</f>
        <v>40</v>
      </c>
      <c r="Q22" s="95"/>
      <c r="R22" s="93">
        <f>SUBTOTAL(109,CashPaidOut6[Total])</f>
        <v>480</v>
      </c>
      <c r="S22" s="28"/>
    </row>
    <row r="23" spans="2:19" ht="17.25" customHeight="1" x14ac:dyDescent="0.25"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</row>
    <row r="24" spans="2:19" ht="17.25" customHeight="1" x14ac:dyDescent="0.2">
      <c r="B24" s="39" t="s">
        <v>17</v>
      </c>
      <c r="C24" s="27"/>
      <c r="Q24" s="23"/>
    </row>
    <row r="25" spans="2:19" ht="17.25" customHeight="1" x14ac:dyDescent="0.25">
      <c r="B25" s="40" t="s">
        <v>8</v>
      </c>
      <c r="C25" s="23"/>
      <c r="D25" s="31"/>
      <c r="E25" s="103">
        <v>10</v>
      </c>
      <c r="F25" s="103">
        <v>10</v>
      </c>
      <c r="G25" s="103">
        <v>10</v>
      </c>
      <c r="H25" s="103">
        <v>10</v>
      </c>
      <c r="I25" s="103">
        <v>10</v>
      </c>
      <c r="J25" s="103">
        <v>10</v>
      </c>
      <c r="K25" s="103">
        <v>10</v>
      </c>
      <c r="L25" s="103">
        <v>10</v>
      </c>
      <c r="M25" s="103">
        <v>10</v>
      </c>
      <c r="N25" s="103">
        <v>10</v>
      </c>
      <c r="O25" s="103">
        <v>10</v>
      </c>
      <c r="P25" s="103">
        <v>10</v>
      </c>
      <c r="Q25" s="25"/>
      <c r="R25" s="31">
        <f>SUM(CashPaidOut27[[#This Row],[Period 0]:[Period 12]])</f>
        <v>120</v>
      </c>
      <c r="S25" s="32"/>
    </row>
    <row r="26" spans="2:19" ht="17.25" customHeight="1" x14ac:dyDescent="0.25">
      <c r="B26" s="40" t="s">
        <v>19</v>
      </c>
      <c r="C26" s="23"/>
      <c r="D26" s="31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25"/>
      <c r="R26" s="31">
        <f>SUM(CashPaidOut27[[#This Row],[Period 0]:[Period 12]])</f>
        <v>0</v>
      </c>
      <c r="S26" s="32"/>
    </row>
    <row r="27" spans="2:19" ht="17.25" customHeight="1" x14ac:dyDescent="0.25">
      <c r="B27" s="40" t="s">
        <v>9</v>
      </c>
      <c r="C27" s="23"/>
      <c r="D27" s="31"/>
      <c r="E27" s="103"/>
      <c r="F27" s="103"/>
      <c r="G27" s="103"/>
      <c r="H27" s="103">
        <v>10</v>
      </c>
      <c r="I27" s="103"/>
      <c r="J27" s="103"/>
      <c r="K27" s="103"/>
      <c r="L27" s="103"/>
      <c r="M27" s="103">
        <v>10</v>
      </c>
      <c r="N27" s="103"/>
      <c r="O27" s="103"/>
      <c r="P27" s="103"/>
      <c r="Q27" s="25"/>
      <c r="R27" s="31">
        <f>SUM(CashPaidOut27[[#This Row],[Period 0]:[Period 12]])</f>
        <v>20</v>
      </c>
      <c r="S27" s="32"/>
    </row>
    <row r="28" spans="2:19" ht="17.25" customHeight="1" thickBot="1" x14ac:dyDescent="0.25">
      <c r="B28" s="89" t="s">
        <v>3</v>
      </c>
      <c r="C28" s="23"/>
      <c r="D28" s="135">
        <f>SUBTOTAL(109,CashPaidOut27[Period 0])</f>
        <v>0</v>
      </c>
      <c r="E28" s="91">
        <f>SUBTOTAL(109,CashPaidOut27[Period 1])</f>
        <v>10</v>
      </c>
      <c r="F28" s="91">
        <f>SUBTOTAL(109,CashPaidOut27[Period 2])</f>
        <v>10</v>
      </c>
      <c r="G28" s="91">
        <f>SUBTOTAL(109,CashPaidOut27[Period 3])</f>
        <v>10</v>
      </c>
      <c r="H28" s="91">
        <f>SUBTOTAL(109,CashPaidOut27[Period 4])</f>
        <v>20</v>
      </c>
      <c r="I28" s="91">
        <f>SUBTOTAL(109,CashPaidOut27[Period 5])</f>
        <v>10</v>
      </c>
      <c r="J28" s="91">
        <f>SUBTOTAL(109,CashPaidOut27[Period 6])</f>
        <v>10</v>
      </c>
      <c r="K28" s="91">
        <f>SUBTOTAL(109,CashPaidOut27[Period 7])</f>
        <v>10</v>
      </c>
      <c r="L28" s="91">
        <f>SUBTOTAL(109,CashPaidOut27[Period 8])</f>
        <v>10</v>
      </c>
      <c r="M28" s="91">
        <f>SUBTOTAL(109,CashPaidOut27[Period 9])</f>
        <v>20</v>
      </c>
      <c r="N28" s="91">
        <f>SUBTOTAL(109,CashPaidOut27[Period 10])</f>
        <v>10</v>
      </c>
      <c r="O28" s="91">
        <f>SUBTOTAL(109,CashPaidOut27[Period 11])</f>
        <v>10</v>
      </c>
      <c r="P28" s="91">
        <f>SUBTOTAL(109,CashPaidOut27[Period 12])</f>
        <v>10</v>
      </c>
      <c r="Q28" s="92"/>
      <c r="R28" s="93">
        <f>SUBTOTAL(109,CashPaidOut27[Total])</f>
        <v>140</v>
      </c>
      <c r="S28" s="33"/>
    </row>
    <row r="29" spans="2:19" ht="17.25" customHeight="1" thickBot="1" x14ac:dyDescent="0.25">
      <c r="B29" s="56" t="s">
        <v>20</v>
      </c>
      <c r="C29" s="57"/>
      <c r="D29" s="58">
        <f>SUM(CashPaidOut6[Period 0],CashPaidOut27[Period 0])</f>
        <v>0</v>
      </c>
      <c r="E29" s="59">
        <f>SUM(CashPaidOut6[Period 1],CashPaidOut27[Period 1])</f>
        <v>50</v>
      </c>
      <c r="F29" s="59">
        <f>SUM(CashPaidOut6[Period 2],CashPaidOut27[Period 2])</f>
        <v>50</v>
      </c>
      <c r="G29" s="59">
        <f>SUM(CashPaidOut6[Period 3],CashPaidOut27[Period 3])</f>
        <v>50</v>
      </c>
      <c r="H29" s="59">
        <f>SUM(CashPaidOut6[Period 4],CashPaidOut27[Period 4])</f>
        <v>60</v>
      </c>
      <c r="I29" s="59">
        <f>SUM(CashPaidOut6[Period 5],CashPaidOut27[Period 5])</f>
        <v>50</v>
      </c>
      <c r="J29" s="59">
        <f>SUM(CashPaidOut6[Period 6],CashPaidOut27[Period 6])</f>
        <v>50</v>
      </c>
      <c r="K29" s="59">
        <f>SUM(CashPaidOut6[Period 7],CashPaidOut27[Period 7])</f>
        <v>50</v>
      </c>
      <c r="L29" s="59">
        <f>SUM(CashPaidOut6[Period 8],CashPaidOut27[Period 8])</f>
        <v>50</v>
      </c>
      <c r="M29" s="59">
        <f>SUM(CashPaidOut6[Period 9],CashPaidOut27[Period 9])</f>
        <v>60</v>
      </c>
      <c r="N29" s="59">
        <f>SUM(CashPaidOut6[Period 10],CashPaidOut27[Period 10])</f>
        <v>50</v>
      </c>
      <c r="O29" s="59">
        <f>SUM(CashPaidOut6[Period 11],CashPaidOut27[Period 11])</f>
        <v>50</v>
      </c>
      <c r="P29" s="59">
        <f>SUM(CashPaidOut6[Period 12],CashPaidOut27[Period 12])</f>
        <v>50</v>
      </c>
      <c r="Q29" s="60"/>
      <c r="R29" s="61">
        <f>SUM(CashPaidOut6[Total],CashPaidOut27[Total])</f>
        <v>620</v>
      </c>
      <c r="S29" s="34"/>
    </row>
    <row r="30" spans="2:19" s="41" customFormat="1" ht="17.25" customHeight="1" x14ac:dyDescent="0.2"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</row>
    <row r="31" spans="2:19" ht="17.25" customHeight="1" thickBot="1" x14ac:dyDescent="0.25">
      <c r="B31" s="62" t="s">
        <v>21</v>
      </c>
      <c r="C31" s="27"/>
      <c r="D31" s="63">
        <f>D15-D29</f>
        <v>110</v>
      </c>
      <c r="E31" s="63">
        <f>E15-E29</f>
        <v>70</v>
      </c>
      <c r="F31" s="63">
        <f>F15-F29</f>
        <v>30</v>
      </c>
      <c r="G31" s="63">
        <f>G15-G29</f>
        <v>4</v>
      </c>
      <c r="H31" s="63">
        <f>H15-H29</f>
        <v>-36</v>
      </c>
      <c r="I31" s="63">
        <f>I15-I29</f>
        <v>-76</v>
      </c>
      <c r="J31" s="63">
        <f>J15-J29</f>
        <v>-116</v>
      </c>
      <c r="K31" s="63">
        <f>K15-K29</f>
        <v>-146</v>
      </c>
      <c r="L31" s="63">
        <f>L15-L29</f>
        <v>-186</v>
      </c>
      <c r="M31" s="63">
        <f>M15-M29</f>
        <v>-222</v>
      </c>
      <c r="N31" s="63">
        <f>N15-N29</f>
        <v>-252</v>
      </c>
      <c r="O31" s="63">
        <f>O15-O29</f>
        <v>-282</v>
      </c>
      <c r="P31" s="64">
        <f>P15-P29</f>
        <v>-310</v>
      </c>
      <c r="Q31" s="27"/>
      <c r="R31" s="63">
        <f>R15-R29</f>
        <v>-702</v>
      </c>
      <c r="S31" s="34"/>
    </row>
  </sheetData>
  <sheetProtection algorithmName="SHA-512" hashValue="YmpmLNh+dT1w6aDj4nHkgf534PF7u/6JS/8qkhM5c4CgjdZKYn8O4BtJAn2wfjrap4NnP9EAw7M4IVE/B0KcAA==" saltValue="fRFOKbNRtdRhIdhNNbJyTw==" spinCount="100000" sheet="1" objects="1" scenarios="1" formatCells="0" formatColumns="0" insertRows="0" autoFilter="0"/>
  <mergeCells count="3">
    <mergeCell ref="B16:S16"/>
    <mergeCell ref="B23:S23"/>
    <mergeCell ref="B30:S30"/>
  </mergeCells>
  <conditionalFormatting sqref="E8:P8">
    <cfRule type="expression" dxfId="81" priority="7">
      <formula>E8&lt;0</formula>
    </cfRule>
  </conditionalFormatting>
  <conditionalFormatting sqref="E31:P31">
    <cfRule type="expression" dxfId="80" priority="6">
      <formula>E31&lt;0</formula>
    </cfRule>
  </conditionalFormatting>
  <conditionalFormatting sqref="E15:P15">
    <cfRule type="expression" dxfId="79" priority="5">
      <formula>E15&lt;0</formula>
    </cfRule>
  </conditionalFormatting>
  <conditionalFormatting sqref="E22:P22">
    <cfRule type="expression" dxfId="78" priority="3">
      <formula>E22&lt;0</formula>
    </cfRule>
  </conditionalFormatting>
  <conditionalFormatting sqref="E28:P28">
    <cfRule type="expression" dxfId="77" priority="1">
      <formula>E28&lt;0</formula>
    </cfRule>
  </conditionalFormatting>
  <printOptions horizontalCentered="1" verticalCentered="1"/>
  <pageMargins left="0.5" right="0.5" top="0.5" bottom="0.5" header="0.3" footer="0.3"/>
  <pageSetup scale="65" orientation="landscape" r:id="rId1"/>
  <headerFooter>
    <oddHeader>&amp;L&amp;"Tahoma,רגיל"&amp;D&amp;C&amp;"Tahoma,רגיל"&amp;F
&amp;A</oddHeader>
    <oddFooter>&amp;C&amp;"Tahoma,רגיל"&amp;9מודל תזרים מזומנים, 
נערך ע"י רו"ח טובי קרויזר
tovi19@gmail.com</oddFooter>
  </headerFooter>
  <drawing r:id="rId2"/>
  <tableParts count="3">
    <tablePart r:id="rId3"/>
    <tablePart r:id="rId4"/>
    <tablePart r:id="rId5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8" id="{E90C0663-0CA6-4BDB-94F1-C0C79698F366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E8:R8</xm:sqref>
        </x14:conditionalFormatting>
        <x14:conditionalFormatting xmlns:xm="http://schemas.microsoft.com/office/excel/2006/main">
          <x14:cfRule type="iconSet" priority="9" id="{00C285BF-AFA5-458A-8269-4DA4D1846B1B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D15:R15</xm:sqref>
        </x14:conditionalFormatting>
        <x14:conditionalFormatting xmlns:xm="http://schemas.microsoft.com/office/excel/2006/main">
          <x14:cfRule type="iconSet" priority="10" id="{01CDE1B9-4754-48FA-98D7-E2350E432F83}">
            <x14:iconSet iconSet="3Flags" custom="1">
              <x14:cfvo type="percent">
                <xm:f>0</xm:f>
              </x14:cfvo>
              <x14:cfvo type="num" gte="0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D31:P31 R31</xm:sqref>
        </x14:conditionalFormatting>
        <x14:conditionalFormatting xmlns:xm="http://schemas.microsoft.com/office/excel/2006/main">
          <x14:cfRule type="iconSet" priority="4" id="{4868A4D9-667B-4B6E-874D-A7A87DF53688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D22:R22</xm:sqref>
        </x14:conditionalFormatting>
        <x14:conditionalFormatting xmlns:xm="http://schemas.microsoft.com/office/excel/2006/main">
          <x14:cfRule type="iconSet" priority="2" id="{E1B860FD-E162-4778-94C5-5AC98C7AB852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D28:R28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displayEmptyCellsAs="gap" markers="1" xr2:uid="{E134FDF0-057A-47FC-8A62-77356A83DDB5}">
          <x14:colorSeries theme="0" tint="-0.34998626667073579"/>
          <x14:colorNegative theme="9"/>
          <x14:colorAxis rgb="FF000000"/>
          <x14:colorMarkers theme="9"/>
          <x14:colorFirst theme="4"/>
          <x14:colorLast theme="5"/>
          <x14:colorHigh theme="6"/>
          <x14:colorLow theme="7"/>
          <x14:sparklines>
            <x14:sparkline>
              <xm:f>'תחזית תזרים מזומנים'!D31:P31</xm:f>
              <xm:sqref>S31</xm:sqref>
            </x14:sparkline>
            <x14:sparkline>
              <xm:f>'תחזית תזרים מזומנים'!D15:P15</xm:f>
              <xm:sqref>S15</xm:sqref>
            </x14:sparkline>
            <x14:sparkline>
              <xm:f>'תחזית תזרים מזומנים'!D28:P28</xm:f>
              <xm:sqref>S28</xm:sqref>
            </x14:sparkline>
            <x14:sparkline>
              <xm:f>'תחזית תזרים מזומנים'!D29:P29</xm:f>
              <xm:sqref>S29</xm:sqref>
            </x14:sparkline>
            <x14:sparkline>
              <xm:f>'תחזית תזרים מזומנים'!D22:P22</xm:f>
              <xm:sqref>S22</xm:sqref>
            </x14:sparkline>
            <x14:sparkline>
              <xm:f>'תחזית תזרים מזומנים'!D8:P8</xm:f>
              <xm:sqref>S8</xm:sqref>
            </x14:sparkline>
            <x14:sparkline>
              <xm:f>'תחזית תזרים מזומנים'!D13:P13</xm:f>
              <xm:sqref>S13</xm:sqref>
            </x14:sparkline>
            <x14:sparkline>
              <xm:f>'תחזית תזרים מזומנים'!D14:P14</xm:f>
              <xm:sqref>S14</xm:sqref>
            </x14:sparkline>
          </x14:sparklines>
        </x14:sparklineGroup>
      </x14:sparklineGroup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CF7A2-265E-47B4-9DE8-10B3755D11C1}">
  <sheetPr>
    <tabColor theme="4"/>
    <pageSetUpPr fitToPage="1"/>
  </sheetPr>
  <dimension ref="B1:S36"/>
  <sheetViews>
    <sheetView showGridLines="0" rightToLeft="1" zoomScaleNormal="100" workbookViewId="0">
      <selection activeCell="G5" sqref="G5"/>
    </sheetView>
  </sheetViews>
  <sheetFormatPr defaultRowHeight="17.25" customHeight="1" x14ac:dyDescent="0.25"/>
  <cols>
    <col min="1" max="1" width="2.25" style="4" customWidth="1"/>
    <col min="2" max="2" width="32.625" style="4" customWidth="1"/>
    <col min="3" max="3" width="2.875" style="4" customWidth="1"/>
    <col min="4" max="4" width="9.375" style="4" customWidth="1"/>
    <col min="5" max="16" width="9.625" style="4" customWidth="1"/>
    <col min="17" max="17" width="2.875" style="4" customWidth="1"/>
    <col min="18" max="18" width="10.75" style="4" customWidth="1"/>
    <col min="19" max="16384" width="9" style="4"/>
  </cols>
  <sheetData>
    <row r="1" spans="2:19" ht="42" customHeight="1" thickBot="1" x14ac:dyDescent="0.5">
      <c r="B1" s="1" t="s">
        <v>54</v>
      </c>
      <c r="C1" s="2"/>
      <c r="D1" s="2"/>
      <c r="E1" s="3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2:19" ht="22.5" customHeight="1" thickTop="1" x14ac:dyDescent="0.25">
      <c r="E2" s="84">
        <v>1</v>
      </c>
      <c r="F2" s="84">
        <v>2</v>
      </c>
      <c r="G2" s="84">
        <v>3</v>
      </c>
      <c r="H2" s="84">
        <v>4</v>
      </c>
      <c r="I2" s="84">
        <v>5</v>
      </c>
      <c r="J2" s="84">
        <v>6</v>
      </c>
      <c r="K2" s="84">
        <v>7</v>
      </c>
      <c r="L2" s="84">
        <v>8</v>
      </c>
      <c r="M2" s="84">
        <v>9</v>
      </c>
      <c r="N2" s="84">
        <v>10</v>
      </c>
      <c r="O2" s="84">
        <v>11</v>
      </c>
      <c r="P2" s="84">
        <v>12</v>
      </c>
      <c r="Q2" s="5"/>
    </row>
    <row r="3" spans="2:19" ht="25.5" customHeight="1" x14ac:dyDescent="0.25">
      <c r="B3" s="6" t="s">
        <v>1</v>
      </c>
      <c r="D3" s="7" t="s">
        <v>2</v>
      </c>
      <c r="E3" s="8" t="str">
        <f>UPPER(TEXT(FiscalYearStartDate,"mmm"))</f>
        <v>ינו</v>
      </c>
      <c r="F3" s="8" t="str">
        <f>UPPER(TEXT(EOMONTH(FiscalYearStartDate,1),"mmm"))</f>
        <v>פבר</v>
      </c>
      <c r="G3" s="8" t="str">
        <f>UPPER(TEXT(EOMONTH(FiscalYearStartDate,2),"mmm"))</f>
        <v>מרץ</v>
      </c>
      <c r="H3" s="8" t="str">
        <f>UPPER(TEXT(EOMONTH(FiscalYearStartDate,3),"mmm"))</f>
        <v>אפר</v>
      </c>
      <c r="I3" s="8" t="str">
        <f>UPPER(TEXT(EOMONTH(FiscalYearStartDate,4),"mmm"))</f>
        <v>מאי</v>
      </c>
      <c r="J3" s="8" t="str">
        <f>UPPER(TEXT(EOMONTH(FiscalYearStartDate,5),"mmm"))</f>
        <v>יונ</v>
      </c>
      <c r="K3" s="8" t="str">
        <f>UPPER(TEXT(EOMONTH(FiscalYearStartDate,6),"mmm"))</f>
        <v>יול</v>
      </c>
      <c r="L3" s="8" t="str">
        <f>UPPER(TEXT(EOMONTH(FiscalYearStartDate,7),"mmm"))</f>
        <v>אוג</v>
      </c>
      <c r="M3" s="8" t="str">
        <f>UPPER(TEXT(EOMONTH(FiscalYearStartDate,8),"mmm"))</f>
        <v>ספט</v>
      </c>
      <c r="N3" s="8" t="str">
        <f>UPPER(TEXT(EOMONTH(FiscalYearStartDate,9),"mmm"))</f>
        <v>אוק</v>
      </c>
      <c r="O3" s="8" t="str">
        <f>UPPER(TEXT(EOMONTH(FiscalYearStartDate,10),"mmm"))</f>
        <v>נוב</v>
      </c>
      <c r="P3" s="8" t="str">
        <f>UPPER(TEXT(EOMONTH(FiscalYearStartDate,11),"mmm"))</f>
        <v>דצמ</v>
      </c>
      <c r="Q3" s="9"/>
      <c r="R3" s="10" t="s">
        <v>3</v>
      </c>
      <c r="S3" s="11"/>
    </row>
    <row r="4" spans="2:19" ht="10.5" customHeight="1" x14ac:dyDescent="0.25">
      <c r="B4" s="6"/>
      <c r="D4" s="7"/>
      <c r="E4" s="109">
        <f>MONTH(B5)</f>
        <v>1</v>
      </c>
      <c r="F4" s="109">
        <f>E4+1</f>
        <v>2</v>
      </c>
      <c r="G4" s="109">
        <f t="shared" ref="G4:P4" si="0">F4+1</f>
        <v>3</v>
      </c>
      <c r="H4" s="109">
        <f t="shared" si="0"/>
        <v>4</v>
      </c>
      <c r="I4" s="109">
        <f t="shared" si="0"/>
        <v>5</v>
      </c>
      <c r="J4" s="109">
        <f t="shared" si="0"/>
        <v>6</v>
      </c>
      <c r="K4" s="109">
        <f t="shared" si="0"/>
        <v>7</v>
      </c>
      <c r="L4" s="109">
        <f t="shared" si="0"/>
        <v>8</v>
      </c>
      <c r="M4" s="109">
        <f t="shared" si="0"/>
        <v>9</v>
      </c>
      <c r="N4" s="109">
        <f t="shared" si="0"/>
        <v>10</v>
      </c>
      <c r="O4" s="109">
        <f t="shared" si="0"/>
        <v>11</v>
      </c>
      <c r="P4" s="109">
        <f t="shared" si="0"/>
        <v>12</v>
      </c>
      <c r="Q4" s="9"/>
      <c r="R4" s="10"/>
      <c r="S4" s="11"/>
    </row>
    <row r="5" spans="2:19" ht="12.75" customHeight="1" thickBot="1" x14ac:dyDescent="0.25">
      <c r="B5" s="35">
        <f>'תחזית תזרים מזומנים'!FiscalYearStartDate</f>
        <v>43831</v>
      </c>
      <c r="D5" s="13" t="s">
        <v>0</v>
      </c>
      <c r="E5" s="14">
        <f>FiscalYearStartDate</f>
        <v>43831</v>
      </c>
      <c r="F5" s="14">
        <f t="shared" ref="F5" si="1">EOMONTH(E5,0)+DAY(FiscalYearStartDate)</f>
        <v>43862</v>
      </c>
      <c r="G5" s="14">
        <f t="shared" ref="G5" si="2">EOMONTH(F5,0)+DAY(FiscalYearStartDate)</f>
        <v>43891</v>
      </c>
      <c r="H5" s="14">
        <f t="shared" ref="H5" si="3">EOMONTH(G5,0)+DAY(FiscalYearStartDate)</f>
        <v>43922</v>
      </c>
      <c r="I5" s="14">
        <f t="shared" ref="I5" si="4">EOMONTH(H5,0)+DAY(FiscalYearStartDate)</f>
        <v>43952</v>
      </c>
      <c r="J5" s="14">
        <f t="shared" ref="J5" si="5">EOMONTH(I5,0)+DAY(FiscalYearStartDate)</f>
        <v>43983</v>
      </c>
      <c r="K5" s="14">
        <f t="shared" ref="K5" si="6">EOMONTH(J5,0)+DAY(FiscalYearStartDate)</f>
        <v>44013</v>
      </c>
      <c r="L5" s="14">
        <f t="shared" ref="L5" si="7">EOMONTH(K5,0)+DAY(FiscalYearStartDate)</f>
        <v>44044</v>
      </c>
      <c r="M5" s="14">
        <f t="shared" ref="M5" si="8">EOMONTH(L5,0)+DAY(FiscalYearStartDate)</f>
        <v>44075</v>
      </c>
      <c r="N5" s="14">
        <f t="shared" ref="N5" si="9">EOMONTH(M5,0)+DAY(FiscalYearStartDate)</f>
        <v>44105</v>
      </c>
      <c r="O5" s="14">
        <f t="shared" ref="O5" si="10">EOMONTH(N5,0)+DAY(FiscalYearStartDate)</f>
        <v>44136</v>
      </c>
      <c r="P5" s="14">
        <f t="shared" ref="P5" si="11">EOMONTH(O5,0)+DAY(FiscalYearStartDate)</f>
        <v>44166</v>
      </c>
      <c r="Q5" s="15"/>
      <c r="R5" s="7" t="s">
        <v>4</v>
      </c>
      <c r="S5" s="11"/>
    </row>
    <row r="6" spans="2:19" ht="17.25" customHeight="1" thickTop="1" x14ac:dyDescent="0.2">
      <c r="B6" s="12"/>
      <c r="D6" s="16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8"/>
      <c r="R6" s="19"/>
      <c r="S6" s="11"/>
    </row>
    <row r="7" spans="2:19" ht="17.25" customHeight="1" thickBot="1" x14ac:dyDescent="0.25">
      <c r="B7" s="36" t="s">
        <v>10</v>
      </c>
      <c r="D7" s="20">
        <v>100</v>
      </c>
      <c r="E7" s="20">
        <f>D36</f>
        <v>110</v>
      </c>
      <c r="F7" s="20">
        <f t="shared" ref="F7:P7" si="12">E36</f>
        <v>-240</v>
      </c>
      <c r="G7" s="20">
        <f t="shared" si="12"/>
        <v>-240</v>
      </c>
      <c r="H7" s="20">
        <f t="shared" si="12"/>
        <v>-240</v>
      </c>
      <c r="I7" s="20">
        <f t="shared" si="12"/>
        <v>-240</v>
      </c>
      <c r="J7" s="20">
        <f t="shared" si="12"/>
        <v>-240</v>
      </c>
      <c r="K7" s="20">
        <f t="shared" si="12"/>
        <v>-240</v>
      </c>
      <c r="L7" s="20">
        <f t="shared" si="12"/>
        <v>-240</v>
      </c>
      <c r="M7" s="20">
        <f t="shared" si="12"/>
        <v>-240</v>
      </c>
      <c r="N7" s="20">
        <f t="shared" si="12"/>
        <v>-240</v>
      </c>
      <c r="O7" s="20">
        <f t="shared" si="12"/>
        <v>-240</v>
      </c>
      <c r="P7" s="20">
        <f t="shared" si="12"/>
        <v>-240</v>
      </c>
      <c r="Q7" s="21"/>
      <c r="R7" s="20">
        <f>P7</f>
        <v>-240</v>
      </c>
      <c r="S7" s="22"/>
    </row>
    <row r="8" spans="2:19" ht="17.25" customHeight="1" x14ac:dyDescent="0.25">
      <c r="Q8" s="23"/>
    </row>
    <row r="9" spans="2:19" ht="17.25" customHeight="1" x14ac:dyDescent="0.25">
      <c r="B9" s="24" t="s">
        <v>52</v>
      </c>
      <c r="Q9" s="23"/>
    </row>
    <row r="10" spans="2:19" ht="17.25" customHeight="1" x14ac:dyDescent="0.25">
      <c r="B10" s="37" t="s">
        <v>5</v>
      </c>
      <c r="C10" s="23"/>
      <c r="D10" s="46"/>
      <c r="E10" s="85">
        <f>SUMIFS('קלט תנועות תקבול'!$C:$C,'קלט תנועות תקבול'!$G:$G,$B10,'קלט תנועות תקבול'!$H:$H,'תזרים מזומנים בפועל'!E$2)</f>
        <v>150</v>
      </c>
      <c r="F10" s="85">
        <f>SUMIFS('קלט תנועות תקבול'!$C:$C,'קלט תנועות תקבול'!$G:$G,$B10,'קלט תנועות תקבול'!$H:$H,'תזרים מזומנים בפועל'!F$2)</f>
        <v>0</v>
      </c>
      <c r="G10" s="85">
        <f>SUMIFS('קלט תנועות תקבול'!$C:$C,'קלט תנועות תקבול'!$G:$G,$B10,'קלט תנועות תקבול'!$H:$H,'תזרים מזומנים בפועל'!G$2)</f>
        <v>0</v>
      </c>
      <c r="H10" s="85">
        <f>SUMIFS('קלט תנועות תקבול'!$C:$C,'קלט תנועות תקבול'!$G:$G,$B10,'קלט תנועות תקבול'!$H:$H,'תזרים מזומנים בפועל'!H$2)</f>
        <v>0</v>
      </c>
      <c r="I10" s="85">
        <f>SUMIFS('קלט תנועות תקבול'!$C:$C,'קלט תנועות תקבול'!$G:$G,$B10,'קלט תנועות תקבול'!$H:$H,'תזרים מזומנים בפועל'!I$2)</f>
        <v>0</v>
      </c>
      <c r="J10" s="85">
        <f>SUMIFS('קלט תנועות תקבול'!$C:$C,'קלט תנועות תקבול'!$G:$G,$B10,'קלט תנועות תקבול'!$H:$H,'תזרים מזומנים בפועל'!J$2)</f>
        <v>0</v>
      </c>
      <c r="K10" s="85">
        <f>SUMIFS('קלט תנועות תקבול'!$C:$C,'קלט תנועות תקבול'!$G:$G,$B10,'קלט תנועות תקבול'!$H:$H,'תזרים מזומנים בפועל'!K$2)</f>
        <v>0</v>
      </c>
      <c r="L10" s="85">
        <f>SUMIFS('קלט תנועות תקבול'!$C:$C,'קלט תנועות תקבול'!$G:$G,$B10,'קלט תנועות תקבול'!$H:$H,'תזרים מזומנים בפועל'!L$2)</f>
        <v>0</v>
      </c>
      <c r="M10" s="85">
        <f>SUMIFS('קלט תנועות תקבול'!$C:$C,'קלט תנועות תקבול'!$G:$G,$B10,'קלט תנועות תקבול'!$H:$H,'תזרים מזומנים בפועל'!M$2)</f>
        <v>0</v>
      </c>
      <c r="N10" s="85">
        <f>SUMIFS('קלט תנועות תקבול'!$C:$C,'קלט תנועות תקבול'!$G:$G,$B10,'קלט תנועות תקבול'!$H:$H,'תזרים מזומנים בפועל'!N$2)</f>
        <v>0</v>
      </c>
      <c r="O10" s="85">
        <f>SUMIFS('קלט תנועות תקבול'!$C:$C,'קלט תנועות תקבול'!$G:$G,$B10,'קלט תנועות תקבול'!$H:$H,'תזרים מזומנים בפועל'!O$2)</f>
        <v>0</v>
      </c>
      <c r="P10" s="85">
        <f>SUMIFS('קלט תנועות תקבול'!$C:$C,'קלט תנועות תקבול'!$G:$G,$B10,'קלט תנועות תקבול'!$H:$H,'תזרים מזומנים בפועל'!P$2)</f>
        <v>0</v>
      </c>
      <c r="Q10" s="25"/>
      <c r="R10" s="66">
        <f>SUM(CashReceipts58[[#This Row],[Period 1]:[Period 12]])</f>
        <v>150</v>
      </c>
    </row>
    <row r="11" spans="2:19" ht="17.25" customHeight="1" x14ac:dyDescent="0.25">
      <c r="B11" s="37" t="s">
        <v>41</v>
      </c>
      <c r="C11" s="23"/>
      <c r="D11" s="46"/>
      <c r="E11" s="85">
        <f>SUMIFS('קלט תנועות תקבול'!$C:$C,'קלט תנועות תקבול'!$G:$G,$B11,'קלט תנועות תקבול'!$H:$H,'תזרים מזומנים בפועל'!E$2)</f>
        <v>0</v>
      </c>
      <c r="F11" s="85">
        <f>SUMIFS('קלט תנועות תקבול'!$C:$C,'קלט תנועות תקבול'!$G:$G,$B11,'קלט תנועות תקבול'!$H:$H,'תזרים מזומנים בפועל'!F$2)</f>
        <v>0</v>
      </c>
      <c r="G11" s="85">
        <f>SUMIFS('קלט תנועות תקבול'!$C:$C,'קלט תנועות תקבול'!$G:$G,$B11,'קלט תנועות תקבול'!$H:$H,'תזרים מזומנים בפועל'!G$2)</f>
        <v>0</v>
      </c>
      <c r="H11" s="85">
        <f>SUMIFS('קלט תנועות תקבול'!$C:$C,'קלט תנועות תקבול'!$G:$G,$B11,'קלט תנועות תקבול'!$H:$H,'תזרים מזומנים בפועל'!H$2)</f>
        <v>0</v>
      </c>
      <c r="I11" s="85">
        <f>SUMIFS('קלט תנועות תקבול'!$C:$C,'קלט תנועות תקבול'!$G:$G,$B11,'קלט תנועות תקבול'!$H:$H,'תזרים מזומנים בפועל'!I$2)</f>
        <v>0</v>
      </c>
      <c r="J11" s="85">
        <f>SUMIFS('קלט תנועות תקבול'!$C:$C,'קלט תנועות תקבול'!$G:$G,$B11,'קלט תנועות תקבול'!$H:$H,'תזרים מזומנים בפועל'!J$2)</f>
        <v>0</v>
      </c>
      <c r="K11" s="85">
        <f>SUMIFS('קלט תנועות תקבול'!$C:$C,'קלט תנועות תקבול'!$G:$G,$B11,'קלט תנועות תקבול'!$H:$H,'תזרים מזומנים בפועל'!K$2)</f>
        <v>0</v>
      </c>
      <c r="L11" s="85">
        <f>SUMIFS('קלט תנועות תקבול'!$C:$C,'קלט תנועות תקבול'!$G:$G,$B11,'קלט תנועות תקבול'!$H:$H,'תזרים מזומנים בפועל'!L$2)</f>
        <v>0</v>
      </c>
      <c r="M11" s="85">
        <f>SUMIFS('קלט תנועות תקבול'!$C:$C,'קלט תנועות תקבול'!$G:$G,$B11,'קלט תנועות תקבול'!$H:$H,'תזרים מזומנים בפועל'!M$2)</f>
        <v>0</v>
      </c>
      <c r="N11" s="85">
        <f>SUMIFS('קלט תנועות תקבול'!$C:$C,'קלט תנועות תקבול'!$G:$G,$B11,'קלט תנועות תקבול'!$H:$H,'תזרים מזומנים בפועל'!N$2)</f>
        <v>0</v>
      </c>
      <c r="O11" s="85">
        <f>SUMIFS('קלט תנועות תקבול'!$C:$C,'קלט תנועות תקבול'!$G:$G,$B11,'קלט תנועות תקבול'!$H:$H,'תזרים מזומנים בפועל'!O$2)</f>
        <v>0</v>
      </c>
      <c r="P11" s="85">
        <f>SUMIFS('קלט תנועות תקבול'!$C:$C,'קלט תנועות תקבול'!$G:$G,$B11,'קלט תנועות תקבול'!$H:$H,'תזרים מזומנים בפועל'!P$2)</f>
        <v>0</v>
      </c>
      <c r="Q11" s="25"/>
      <c r="R11" s="66">
        <f>SUM(CashReceipts58[[#This Row],[Period 1]:[Period 12]])</f>
        <v>0</v>
      </c>
    </row>
    <row r="12" spans="2:19" ht="17.25" customHeight="1" x14ac:dyDescent="0.25">
      <c r="B12" s="37" t="s">
        <v>42</v>
      </c>
      <c r="C12" s="23"/>
      <c r="D12" s="46"/>
      <c r="E12" s="85">
        <f>E10+E11</f>
        <v>150</v>
      </c>
      <c r="F12" s="85">
        <f t="shared" ref="F12:P12" si="13">F10+F11</f>
        <v>0</v>
      </c>
      <c r="G12" s="85">
        <f t="shared" si="13"/>
        <v>0</v>
      </c>
      <c r="H12" s="85">
        <f t="shared" si="13"/>
        <v>0</v>
      </c>
      <c r="I12" s="85">
        <f t="shared" si="13"/>
        <v>0</v>
      </c>
      <c r="J12" s="85">
        <f t="shared" si="13"/>
        <v>0</v>
      </c>
      <c r="K12" s="85">
        <f t="shared" si="13"/>
        <v>0</v>
      </c>
      <c r="L12" s="85">
        <f t="shared" si="13"/>
        <v>0</v>
      </c>
      <c r="M12" s="85">
        <f t="shared" si="13"/>
        <v>0</v>
      </c>
      <c r="N12" s="85">
        <f t="shared" si="13"/>
        <v>0</v>
      </c>
      <c r="O12" s="85">
        <f t="shared" si="13"/>
        <v>0</v>
      </c>
      <c r="P12" s="85">
        <f t="shared" si="13"/>
        <v>0</v>
      </c>
      <c r="Q12" s="25"/>
      <c r="R12" s="66">
        <f>SUM(CashReceipts58[[#This Row],[Period 1]:[Period 12]])</f>
        <v>150</v>
      </c>
    </row>
    <row r="13" spans="2:19" ht="17.25" customHeight="1" thickBot="1" x14ac:dyDescent="0.3">
      <c r="B13" s="54" t="s">
        <v>13</v>
      </c>
      <c r="C13" s="26"/>
      <c r="D13" s="47"/>
      <c r="E13" s="67">
        <f>CashReceipts5[[#Totals],[Period 1]]</f>
        <v>10</v>
      </c>
      <c r="F13" s="67">
        <f>CashReceipts5[[#Totals],[Period 2]]</f>
        <v>10</v>
      </c>
      <c r="G13" s="67">
        <f>CashReceipts5[[#Totals],[Period 3]]</f>
        <v>24</v>
      </c>
      <c r="H13" s="67">
        <f>CashReceipts5[[#Totals],[Period 4]]</f>
        <v>20</v>
      </c>
      <c r="I13" s="67">
        <f>CashReceipts5[[#Totals],[Period 5]]</f>
        <v>10</v>
      </c>
      <c r="J13" s="67">
        <f>CashReceipts5[[#Totals],[Period 6]]</f>
        <v>10</v>
      </c>
      <c r="K13" s="67">
        <f>CashReceipts5[[#Totals],[Period 7]]</f>
        <v>20</v>
      </c>
      <c r="L13" s="67">
        <f>CashReceipts5[[#Totals],[Period 8]]</f>
        <v>10</v>
      </c>
      <c r="M13" s="67">
        <f>CashReceipts5[[#Totals],[Period 9]]</f>
        <v>24</v>
      </c>
      <c r="N13" s="67">
        <f>CashReceipts5[[#Totals],[Period 10]]</f>
        <v>20</v>
      </c>
      <c r="O13" s="67">
        <f>CashReceipts5[[#Totals],[Period 11]]</f>
        <v>20</v>
      </c>
      <c r="P13" s="67">
        <f>CashReceipts5[[#Totals],[Period 12]]</f>
        <v>21.999999999999996</v>
      </c>
      <c r="Q13" s="68"/>
      <c r="R13" s="69">
        <f>SUM(CashReceipts58[[#Totals],[Period 1]:[Period 12]])</f>
        <v>200</v>
      </c>
    </row>
    <row r="14" spans="2:19" ht="17.25" customHeight="1" thickTop="1" x14ac:dyDescent="0.25">
      <c r="B14" s="87" t="s">
        <v>44</v>
      </c>
      <c r="C14" s="65"/>
      <c r="D14" s="47"/>
      <c r="E14" s="88">
        <f>E12-CashReceipts58[[#Totals],[Period 1]]</f>
        <v>140</v>
      </c>
      <c r="F14" s="88">
        <f>F12-CashReceipts58[[#Totals],[Period 2]]</f>
        <v>-10</v>
      </c>
      <c r="G14" s="88">
        <f>G12-CashReceipts58[[#Totals],[Period 3]]</f>
        <v>-24</v>
      </c>
      <c r="H14" s="88">
        <f>H12-CashReceipts58[[#Totals],[Period 4]]</f>
        <v>-20</v>
      </c>
      <c r="I14" s="88">
        <f>I12-CashReceipts58[[#Totals],[Period 5]]</f>
        <v>-10</v>
      </c>
      <c r="J14" s="88">
        <f>J12-CashReceipts58[[#Totals],[Period 6]]</f>
        <v>-10</v>
      </c>
      <c r="K14" s="88">
        <f>K12-CashReceipts58[[#Totals],[Period 7]]</f>
        <v>-20</v>
      </c>
      <c r="L14" s="88">
        <f>L12-CashReceipts58[[#Totals],[Period 8]]</f>
        <v>-10</v>
      </c>
      <c r="M14" s="88">
        <f>M12-CashReceipts58[[#Totals],[Period 9]]</f>
        <v>-24</v>
      </c>
      <c r="N14" s="88">
        <f>N12-CashReceipts58[[#Totals],[Period 10]]</f>
        <v>-20</v>
      </c>
      <c r="O14" s="88">
        <f>O12-CashReceipts58[[#Totals],[Period 11]]</f>
        <v>-20</v>
      </c>
      <c r="P14" s="88">
        <f>P12-CashReceipts58[[#Totals],[Period 12]]</f>
        <v>-21.999999999999996</v>
      </c>
      <c r="Q14" s="68"/>
      <c r="R14" s="88">
        <f>SUM(E14:P14)</f>
        <v>-50</v>
      </c>
    </row>
    <row r="15" spans="2:19" ht="17.25" customHeight="1" x14ac:dyDescent="0.25">
      <c r="B15" s="54" t="s">
        <v>23</v>
      </c>
      <c r="C15" s="65"/>
      <c r="D15" s="86">
        <f>'תחזית תזרים מזומנים'!D14</f>
        <v>10</v>
      </c>
      <c r="E15" s="86">
        <f>SUMIFS('קלט תנועות תקבול'!$C:$C,'קלט תנועות תקבול'!$G:$G,$B15,'קלט תנועות תקבול'!$H:$H,'תזרים מזומנים בפועל'!E$2)</f>
        <v>0</v>
      </c>
      <c r="F15" s="86">
        <f>SUMIFS('קלט תנועות תקבול'!$C:$C,'קלט תנועות תקבול'!$G:$G,$B15,'קלט תנועות תקבול'!$H:$H,'תזרים מזומנים בפועל'!F$2)</f>
        <v>0</v>
      </c>
      <c r="G15" s="86">
        <f>SUMIFS('קלט תנועות תקבול'!$C:$C,'קלט תנועות תקבול'!$G:$G,$B15,'קלט תנועות תקבול'!$H:$H,'תזרים מזומנים בפועל'!G$2)</f>
        <v>0</v>
      </c>
      <c r="H15" s="86">
        <f>SUMIFS('קלט תנועות תקבול'!$C:$C,'קלט תנועות תקבול'!$G:$G,$B15,'קלט תנועות תקבול'!$H:$H,'תזרים מזומנים בפועל'!H$2)</f>
        <v>0</v>
      </c>
      <c r="I15" s="86">
        <f>SUMIFS('קלט תנועות תקבול'!$C:$C,'קלט תנועות תקבול'!$G:$G,$B15,'קלט תנועות תקבול'!$H:$H,'תזרים מזומנים בפועל'!I$2)</f>
        <v>0</v>
      </c>
      <c r="J15" s="86">
        <f>SUMIFS('קלט תנועות תקבול'!$C:$C,'קלט תנועות תקבול'!$G:$G,$B15,'קלט תנועות תקבול'!$H:$H,'תזרים מזומנים בפועל'!J$2)</f>
        <v>0</v>
      </c>
      <c r="K15" s="86">
        <f>SUMIFS('קלט תנועות תקבול'!$C:$C,'קלט תנועות תקבול'!$G:$G,$B15,'קלט תנועות תקבול'!$H:$H,'תזרים מזומנים בפועל'!K$2)</f>
        <v>0</v>
      </c>
      <c r="L15" s="86">
        <f>SUMIFS('קלט תנועות תקבול'!$C:$C,'קלט תנועות תקבול'!$G:$G,$B15,'קלט תנועות תקבול'!$H:$H,'תזרים מזומנים בפועל'!L$2)</f>
        <v>0</v>
      </c>
      <c r="M15" s="86">
        <f>SUMIFS('קלט תנועות תקבול'!$C:$C,'קלט תנועות תקבול'!$G:$G,$B15,'קלט תנועות תקבול'!$H:$H,'תזרים מזומנים בפועל'!M$2)</f>
        <v>0</v>
      </c>
      <c r="N15" s="86">
        <f>SUMIFS('קלט תנועות תקבול'!$C:$C,'קלט תנועות תקבול'!$G:$G,$B15,'קלט תנועות תקבול'!$H:$H,'תזרים מזומנים בפועל'!N$2)</f>
        <v>0</v>
      </c>
      <c r="O15" s="86">
        <f>SUMIFS('קלט תנועות תקבול'!$C:$C,'קלט תנועות תקבול'!$G:$G,$B15,'קלט תנועות תקבול'!$H:$H,'תזרים מזומנים בפועל'!O$2)</f>
        <v>0</v>
      </c>
      <c r="P15" s="86">
        <f>SUMIFS('קלט תנועות תקבול'!$C:$C,'קלט תנועות תקבול'!$G:$G,$B15,'קלט תנועות תקבול'!$H:$H,'תזרים מזומנים בפועל'!P$2)</f>
        <v>0</v>
      </c>
      <c r="Q15" s="48"/>
      <c r="R15" s="55">
        <f>SUM(E15:P15)</f>
        <v>0</v>
      </c>
    </row>
    <row r="16" spans="2:19" ht="16.5" customHeight="1" thickBot="1" x14ac:dyDescent="0.3">
      <c r="B16" s="38" t="s">
        <v>6</v>
      </c>
      <c r="C16" s="27"/>
      <c r="D16" s="52">
        <f>D7+SUM(CashReceipts58[Period 0])+D15</f>
        <v>110</v>
      </c>
      <c r="E16" s="53">
        <f>E7+E12+E15</f>
        <v>260</v>
      </c>
      <c r="F16" s="53">
        <f>F7+F12+F15</f>
        <v>-240</v>
      </c>
      <c r="G16" s="53">
        <f>G7+G12+G15</f>
        <v>-240</v>
      </c>
      <c r="H16" s="53">
        <f>H7+H12+H15</f>
        <v>-240</v>
      </c>
      <c r="I16" s="53">
        <f>I7+I12+I15</f>
        <v>-240</v>
      </c>
      <c r="J16" s="53">
        <f>J7+J12+J15</f>
        <v>-240</v>
      </c>
      <c r="K16" s="53">
        <f>K7+K12+K15</f>
        <v>-240</v>
      </c>
      <c r="L16" s="53">
        <f>L7+L12+L15</f>
        <v>-240</v>
      </c>
      <c r="M16" s="53">
        <f>M7+M12+M15</f>
        <v>-240</v>
      </c>
      <c r="N16" s="53">
        <f>N7+N12+N15</f>
        <v>-240</v>
      </c>
      <c r="O16" s="53">
        <f>O7+O12+O15</f>
        <v>-240</v>
      </c>
      <c r="P16" s="53">
        <f>P7+P12+P15</f>
        <v>-240</v>
      </c>
      <c r="Q16" s="50"/>
      <c r="R16" s="49"/>
      <c r="S16" s="28"/>
    </row>
    <row r="17" spans="2:19" ht="17.25" customHeight="1" x14ac:dyDescent="0.2"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</row>
    <row r="18" spans="2:19" ht="17.25" customHeight="1" x14ac:dyDescent="0.2">
      <c r="B18" s="39" t="s">
        <v>53</v>
      </c>
      <c r="C18" s="23"/>
      <c r="Q18" s="23"/>
    </row>
    <row r="19" spans="2:19" ht="17.25" customHeight="1" x14ac:dyDescent="0.25">
      <c r="B19" s="40" t="s">
        <v>14</v>
      </c>
      <c r="C19" s="23"/>
      <c r="D19" s="29"/>
      <c r="E19" s="85">
        <f>SUMIFS('קלט תנועות תשלום'!$C:$C,'קלט תנועות תשלום'!$G:$G,'תזרים מזומנים בפועל'!$B19,'קלט תנועות תשלום'!$H:$H,'תזרים מזומנים בפועל'!E$2)</f>
        <v>500</v>
      </c>
      <c r="F19" s="85">
        <f>SUMIFS('קלט תנועות תשלום'!$C:$C,'קלט תנועות תשלום'!$G:$G,'תזרים מזומנים בפועל'!$B19,'קלט תנועות תשלום'!$H:$H,'תזרים מזומנים בפועל'!F$2)</f>
        <v>0</v>
      </c>
      <c r="G19" s="85">
        <f>SUMIFS('קלט תנועות תשלום'!$C:$C,'קלט תנועות תשלום'!$G:$G,'תזרים מזומנים בפועל'!$B19,'קלט תנועות תשלום'!$H:$H,'תזרים מזומנים בפועל'!G$2)</f>
        <v>0</v>
      </c>
      <c r="H19" s="85">
        <f>SUMIFS('קלט תנועות תשלום'!$C:$C,'קלט תנועות תשלום'!$G:$G,'תזרים מזומנים בפועל'!$B19,'קלט תנועות תשלום'!$H:$H,'תזרים מזומנים בפועל'!H$2)</f>
        <v>0</v>
      </c>
      <c r="I19" s="85">
        <f>SUMIFS('קלט תנועות תשלום'!$C:$C,'קלט תנועות תשלום'!$G:$G,'תזרים מזומנים בפועל'!$B19,'קלט תנועות תשלום'!$H:$H,'תזרים מזומנים בפועל'!I$2)</f>
        <v>0</v>
      </c>
      <c r="J19" s="85">
        <f>SUMIFS('קלט תנועות תשלום'!$C:$C,'קלט תנועות תשלום'!$G:$G,'תזרים מזומנים בפועל'!$B19,'קלט תנועות תשלום'!$H:$H,'תזרים מזומנים בפועל'!J$2)</f>
        <v>0</v>
      </c>
      <c r="K19" s="85">
        <f>SUMIFS('קלט תנועות תשלום'!$C:$C,'קלט תנועות תשלום'!$G:$G,'תזרים מזומנים בפועל'!$B19,'קלט תנועות תשלום'!$H:$H,'תזרים מזומנים בפועל'!K$2)</f>
        <v>0</v>
      </c>
      <c r="L19" s="85">
        <f>SUMIFS('קלט תנועות תשלום'!$C:$C,'קלט תנועות תשלום'!$G:$G,'תזרים מזומנים בפועל'!$B19,'קלט תנועות תשלום'!$H:$H,'תזרים מזומנים בפועל'!L$2)</f>
        <v>0</v>
      </c>
      <c r="M19" s="85">
        <f>SUMIFS('קלט תנועות תשלום'!$C:$C,'קלט תנועות תשלום'!$G:$G,'תזרים מזומנים בפועל'!$B19,'קלט תנועות תשלום'!$H:$H,'תזרים מזומנים בפועל'!M$2)</f>
        <v>0</v>
      </c>
      <c r="N19" s="85">
        <f>SUMIFS('קלט תנועות תשלום'!$C:$C,'קלט תנועות תשלום'!$G:$G,'תזרים מזומנים בפועל'!$B19,'קלט תנועות תשלום'!$H:$H,'תזרים מזומנים בפועל'!N$2)</f>
        <v>0</v>
      </c>
      <c r="O19" s="85">
        <f>SUMIFS('קלט תנועות תשלום'!$C:$C,'קלט תנועות תשלום'!$G:$G,'תזרים מזומנים בפועל'!$B19,'קלט תנועות תשלום'!$H:$H,'תזרים מזומנים בפועל'!O$2)</f>
        <v>0</v>
      </c>
      <c r="P19" s="85">
        <f>SUMIFS('קלט תנועות תשלום'!$C:$C,'קלט תנועות תשלום'!$G:$G,'תזרים מזומנים בפועל'!$B19,'קלט תנועות תשלום'!$H:$H,'תזרים מזומנים בפועל'!P$2)</f>
        <v>0</v>
      </c>
      <c r="Q19" s="30"/>
      <c r="R19" s="31">
        <f>SUM(CashPaidOut69[[#This Row],[Period 0]:[Period 12]])</f>
        <v>500</v>
      </c>
      <c r="S19" s="32"/>
    </row>
    <row r="20" spans="2:19" ht="17.25" customHeight="1" x14ac:dyDescent="0.25">
      <c r="B20" s="40" t="s">
        <v>15</v>
      </c>
      <c r="C20" s="23"/>
      <c r="D20" s="29"/>
      <c r="E20" s="85">
        <f>SUMIFS('קלט תנועות תשלום'!$C:$C,'קלט תנועות תשלום'!$G:$G,'תזרים מזומנים בפועל'!$B20,'קלט תנועות תשלום'!$H:$H,'תזרים מזומנים בפועל'!E$2)</f>
        <v>0</v>
      </c>
      <c r="F20" s="85">
        <f>SUMIFS('קלט תנועות תשלום'!$C:$C,'קלט תנועות תשלום'!$G:$G,'תזרים מזומנים בפועל'!$B20,'קלט תנועות תשלום'!$H:$H,'תזרים מזומנים בפועל'!F$2)</f>
        <v>0</v>
      </c>
      <c r="G20" s="85">
        <f>SUMIFS('קלט תנועות תשלום'!$C:$C,'קלט תנועות תשלום'!$G:$G,'תזרים מזומנים בפועל'!$B20,'קלט תנועות תשלום'!$H:$H,'תזרים מזומנים בפועל'!G$2)</f>
        <v>0</v>
      </c>
      <c r="H20" s="85">
        <f>SUMIFS('קלט תנועות תשלום'!$C:$C,'קלט תנועות תשלום'!$G:$G,'תזרים מזומנים בפועל'!$B20,'קלט תנועות תשלום'!$H:$H,'תזרים מזומנים בפועל'!H$2)</f>
        <v>0</v>
      </c>
      <c r="I20" s="85">
        <f>SUMIFS('קלט תנועות תשלום'!$C:$C,'קלט תנועות תשלום'!$G:$G,'תזרים מזומנים בפועל'!$B20,'קלט תנועות תשלום'!$H:$H,'תזרים מזומנים בפועל'!I$2)</f>
        <v>0</v>
      </c>
      <c r="J20" s="85">
        <f>SUMIFS('קלט תנועות תשלום'!$C:$C,'קלט תנועות תשלום'!$G:$G,'תזרים מזומנים בפועל'!$B20,'קלט תנועות תשלום'!$H:$H,'תזרים מזומנים בפועל'!J$2)</f>
        <v>0</v>
      </c>
      <c r="K20" s="85">
        <f>SUMIFS('קלט תנועות תשלום'!$C:$C,'קלט תנועות תשלום'!$G:$G,'תזרים מזומנים בפועל'!$B20,'קלט תנועות תשלום'!$H:$H,'תזרים מזומנים בפועל'!K$2)</f>
        <v>0</v>
      </c>
      <c r="L20" s="85">
        <f>SUMIFS('קלט תנועות תשלום'!$C:$C,'קלט תנועות תשלום'!$G:$G,'תזרים מזומנים בפועל'!$B20,'קלט תנועות תשלום'!$H:$H,'תזרים מזומנים בפועל'!L$2)</f>
        <v>0</v>
      </c>
      <c r="M20" s="85">
        <f>SUMIFS('קלט תנועות תשלום'!$C:$C,'קלט תנועות תשלום'!$G:$G,'תזרים מזומנים בפועל'!$B20,'קלט תנועות תשלום'!$H:$H,'תזרים מזומנים בפועל'!M$2)</f>
        <v>0</v>
      </c>
      <c r="N20" s="85">
        <f>SUMIFS('קלט תנועות תשלום'!$C:$C,'קלט תנועות תשלום'!$G:$G,'תזרים מזומנים בפועל'!$B20,'קלט תנועות תשלום'!$H:$H,'תזרים מזומנים בפועל'!N$2)</f>
        <v>0</v>
      </c>
      <c r="O20" s="85">
        <f>SUMIFS('קלט תנועות תשלום'!$C:$C,'קלט תנועות תשלום'!$G:$G,'תזרים מזומנים בפועל'!$B20,'קלט תנועות תשלום'!$H:$H,'תזרים מזומנים בפועל'!O$2)</f>
        <v>0</v>
      </c>
      <c r="P20" s="85">
        <f>SUMIFS('קלט תנועות תשלום'!$C:$C,'קלט תנועות תשלום'!$G:$G,'תזרים מזומנים בפועל'!$B20,'קלט תנועות תשלום'!$H:$H,'תזרים מזומנים בפועל'!P$2)</f>
        <v>0</v>
      </c>
      <c r="Q20" s="30"/>
      <c r="R20" s="31">
        <f>SUM(CashPaidOut69[[#This Row],[Period 0]:[Period 12]])</f>
        <v>0</v>
      </c>
      <c r="S20" s="32"/>
    </row>
    <row r="21" spans="2:19" ht="17.25" customHeight="1" x14ac:dyDescent="0.25">
      <c r="B21" s="40" t="s">
        <v>7</v>
      </c>
      <c r="C21" s="23"/>
      <c r="D21" s="29"/>
      <c r="E21" s="85">
        <f>SUMIFS('קלט תנועות תשלום'!$C:$C,'קלט תנועות תשלום'!$G:$G,'תזרים מזומנים בפועל'!$B21,'קלט תנועות תשלום'!$H:$H,'תזרים מזומנים בפועל'!E$2)</f>
        <v>0</v>
      </c>
      <c r="F21" s="85">
        <f>SUMIFS('קלט תנועות תשלום'!$C:$C,'קלט תנועות תשלום'!$G:$G,'תזרים מזומנים בפועל'!$B21,'קלט תנועות תשלום'!$H:$H,'תזרים מזומנים בפועל'!F$2)</f>
        <v>0</v>
      </c>
      <c r="G21" s="85">
        <f>SUMIFS('קלט תנועות תשלום'!$C:$C,'קלט תנועות תשלום'!$G:$G,'תזרים מזומנים בפועל'!$B21,'קלט תנועות תשלום'!$H:$H,'תזרים מזומנים בפועל'!G$2)</f>
        <v>0</v>
      </c>
      <c r="H21" s="85">
        <f>SUMIFS('קלט תנועות תשלום'!$C:$C,'קלט תנועות תשלום'!$G:$G,'תזרים מזומנים בפועל'!$B21,'קלט תנועות תשלום'!$H:$H,'תזרים מזומנים בפועל'!H$2)</f>
        <v>0</v>
      </c>
      <c r="I21" s="85">
        <f>SUMIFS('קלט תנועות תשלום'!$C:$C,'קלט תנועות תשלום'!$G:$G,'תזרים מזומנים בפועל'!$B21,'קלט תנועות תשלום'!$H:$H,'תזרים מזומנים בפועל'!I$2)</f>
        <v>0</v>
      </c>
      <c r="J21" s="85">
        <f>SUMIFS('קלט תנועות תשלום'!$C:$C,'קלט תנועות תשלום'!$G:$G,'תזרים מזומנים בפועל'!$B21,'קלט תנועות תשלום'!$H:$H,'תזרים מזומנים בפועל'!J$2)</f>
        <v>0</v>
      </c>
      <c r="K21" s="85">
        <f>SUMIFS('קלט תנועות תשלום'!$C:$C,'קלט תנועות תשלום'!$G:$G,'תזרים מזומנים בפועל'!$B21,'קלט תנועות תשלום'!$H:$H,'תזרים מזומנים בפועל'!K$2)</f>
        <v>0</v>
      </c>
      <c r="L21" s="85">
        <f>SUMIFS('קלט תנועות תשלום'!$C:$C,'קלט תנועות תשלום'!$G:$G,'תזרים מזומנים בפועל'!$B21,'קלט תנועות תשלום'!$H:$H,'תזרים מזומנים בפועל'!L$2)</f>
        <v>0</v>
      </c>
      <c r="M21" s="85">
        <f>SUMIFS('קלט תנועות תשלום'!$C:$C,'קלט תנועות תשלום'!$G:$G,'תזרים מזומנים בפועל'!$B21,'קלט תנועות תשלום'!$H:$H,'תזרים מזומנים בפועל'!M$2)</f>
        <v>0</v>
      </c>
      <c r="N21" s="85">
        <f>SUMIFS('קלט תנועות תשלום'!$C:$C,'קלט תנועות תשלום'!$G:$G,'תזרים מזומנים בפועל'!$B21,'קלט תנועות תשלום'!$H:$H,'תזרים מזומנים בפועל'!N$2)</f>
        <v>0</v>
      </c>
      <c r="O21" s="85">
        <f>SUMIFS('קלט תנועות תשלום'!$C:$C,'קלט תנועות תשלום'!$G:$G,'תזרים מזומנים בפועל'!$B21,'קלט תנועות תשלום'!$H:$H,'תזרים מזומנים בפועל'!O$2)</f>
        <v>0</v>
      </c>
      <c r="P21" s="85">
        <f>SUMIFS('קלט תנועות תשלום'!$C:$C,'קלט תנועות תשלום'!$G:$G,'תזרים מזומנים בפועל'!$B21,'קלט תנועות תשלום'!$H:$H,'תזרים מזומנים בפועל'!P$2)</f>
        <v>0</v>
      </c>
      <c r="Q21" s="30"/>
      <c r="R21" s="31">
        <f>SUM(CashPaidOut69[[#This Row],[Period 0]:[Period 12]])</f>
        <v>0</v>
      </c>
      <c r="S21" s="32"/>
    </row>
    <row r="22" spans="2:19" ht="17.25" customHeight="1" x14ac:dyDescent="0.25">
      <c r="B22" s="40" t="s">
        <v>16</v>
      </c>
      <c r="C22" s="23"/>
      <c r="D22" s="29"/>
      <c r="E22" s="85">
        <f>SUMIFS('קלט תנועות תשלום'!$C:$C,'קלט תנועות תשלום'!$G:$G,'תזרים מזומנים בפועל'!$B22,'קלט תנועות תשלום'!$H:$H,'תזרים מזומנים בפועל'!E$2)</f>
        <v>0</v>
      </c>
      <c r="F22" s="85">
        <f>SUMIFS('קלט תנועות תשלום'!$C:$C,'קלט תנועות תשלום'!$G:$G,'תזרים מזומנים בפועל'!$B22,'קלט תנועות תשלום'!$H:$H,'תזרים מזומנים בפועל'!F$2)</f>
        <v>0</v>
      </c>
      <c r="G22" s="85">
        <f>SUMIFS('קלט תנועות תשלום'!$C:$C,'קלט תנועות תשלום'!$G:$G,'תזרים מזומנים בפועל'!$B22,'קלט תנועות תשלום'!$H:$H,'תזרים מזומנים בפועל'!G$2)</f>
        <v>0</v>
      </c>
      <c r="H22" s="85">
        <f>SUMIFS('קלט תנועות תשלום'!$C:$C,'קלט תנועות תשלום'!$G:$G,'תזרים מזומנים בפועל'!$B22,'קלט תנועות תשלום'!$H:$H,'תזרים מזומנים בפועל'!H$2)</f>
        <v>0</v>
      </c>
      <c r="I22" s="85">
        <f>SUMIFS('קלט תנועות תשלום'!$C:$C,'קלט תנועות תשלום'!$G:$G,'תזרים מזומנים בפועל'!$B22,'קלט תנועות תשלום'!$H:$H,'תזרים מזומנים בפועל'!I$2)</f>
        <v>0</v>
      </c>
      <c r="J22" s="85">
        <f>SUMIFS('קלט תנועות תשלום'!$C:$C,'קלט תנועות תשלום'!$G:$G,'תזרים מזומנים בפועל'!$B22,'קלט תנועות תשלום'!$H:$H,'תזרים מזומנים בפועל'!J$2)</f>
        <v>0</v>
      </c>
      <c r="K22" s="85">
        <f>SUMIFS('קלט תנועות תשלום'!$C:$C,'קלט תנועות תשלום'!$G:$G,'תזרים מזומנים בפועל'!$B22,'קלט תנועות תשלום'!$H:$H,'תזרים מזומנים בפועל'!K$2)</f>
        <v>0</v>
      </c>
      <c r="L22" s="85">
        <f>SUMIFS('קלט תנועות תשלום'!$C:$C,'קלט תנועות תשלום'!$G:$G,'תזרים מזומנים בפועל'!$B22,'קלט תנועות תשלום'!$H:$H,'תזרים מזומנים בפועל'!L$2)</f>
        <v>0</v>
      </c>
      <c r="M22" s="85">
        <f>SUMIFS('קלט תנועות תשלום'!$C:$C,'קלט תנועות תשלום'!$G:$G,'תזרים מזומנים בפועל'!$B22,'קלט תנועות תשלום'!$H:$H,'תזרים מזומנים בפועל'!M$2)</f>
        <v>0</v>
      </c>
      <c r="N22" s="85">
        <f>SUMIFS('קלט תנועות תשלום'!$C:$C,'קלט תנועות תשלום'!$G:$G,'תזרים מזומנים בפועל'!$B22,'קלט תנועות תשלום'!$H:$H,'תזרים מזומנים בפועל'!N$2)</f>
        <v>0</v>
      </c>
      <c r="O22" s="85">
        <f>SUMIFS('קלט תנועות תשלום'!$C:$C,'קלט תנועות תשלום'!$G:$G,'תזרים מזומנים בפועל'!$B22,'קלט תנועות תשלום'!$H:$H,'תזרים מזומנים בפועל'!O$2)</f>
        <v>0</v>
      </c>
      <c r="P22" s="85">
        <f>SUMIFS('קלט תנועות תשלום'!$C:$C,'קלט תנועות תשלום'!$G:$G,'תזרים מזומנים בפועל'!$B22,'קלט תנועות תשלום'!$H:$H,'תזרים מזומנים בפועל'!P$2)</f>
        <v>0</v>
      </c>
      <c r="Q22" s="30"/>
      <c r="R22" s="31">
        <f>SUM(CashPaidOut69[[#This Row],[Period 0]:[Period 12]])</f>
        <v>0</v>
      </c>
      <c r="S22" s="32"/>
    </row>
    <row r="23" spans="2:19" ht="17.25" customHeight="1" thickBot="1" x14ac:dyDescent="0.3">
      <c r="B23" s="89" t="s">
        <v>3</v>
      </c>
      <c r="C23" s="23"/>
      <c r="D23" s="90">
        <f>SUBTOTAL(109,CashPaidOut69[Period 0])</f>
        <v>0</v>
      </c>
      <c r="E23" s="91">
        <f>SUBTOTAL(109,CashPaidOut69[Period 1])</f>
        <v>500</v>
      </c>
      <c r="F23" s="91">
        <f>SUBTOTAL(109,CashPaidOut69[Period 2])</f>
        <v>0</v>
      </c>
      <c r="G23" s="91">
        <f>SUBTOTAL(109,CashPaidOut69[Period 3])</f>
        <v>0</v>
      </c>
      <c r="H23" s="91">
        <f>SUBTOTAL(109,CashPaidOut69[Period 4])</f>
        <v>0</v>
      </c>
      <c r="I23" s="91">
        <f>SUBTOTAL(109,CashPaidOut69[Period 5])</f>
        <v>0</v>
      </c>
      <c r="J23" s="91">
        <f>SUBTOTAL(109,CashPaidOut69[Period 6])</f>
        <v>0</v>
      </c>
      <c r="K23" s="91">
        <f>SUBTOTAL(109,CashPaidOut69[Period 7])</f>
        <v>0</v>
      </c>
      <c r="L23" s="91">
        <f>SUBTOTAL(109,CashPaidOut69[Period 8])</f>
        <v>0</v>
      </c>
      <c r="M23" s="91">
        <f>SUBTOTAL(109,CashPaidOut69[Period 9])</f>
        <v>0</v>
      </c>
      <c r="N23" s="91">
        <f>SUBTOTAL(109,CashPaidOut69[Period 10])</f>
        <v>0</v>
      </c>
      <c r="O23" s="91">
        <f>SUBTOTAL(109,CashPaidOut69[Period 11])</f>
        <v>0</v>
      </c>
      <c r="P23" s="91">
        <f>SUBTOTAL(109,CashPaidOut69[Period 12])</f>
        <v>0</v>
      </c>
      <c r="Q23" s="92"/>
      <c r="R23" s="93">
        <f>SUBTOTAL(109,CashPaidOut69[Total])</f>
        <v>500</v>
      </c>
      <c r="S23" s="28"/>
    </row>
    <row r="24" spans="2:19" ht="17.25" customHeight="1" thickBot="1" x14ac:dyDescent="0.3">
      <c r="B24" s="56" t="s">
        <v>43</v>
      </c>
      <c r="C24" s="65"/>
      <c r="D24" s="58"/>
      <c r="E24" s="97">
        <f>CashPaidOut6[[#Totals],[Period 1]]</f>
        <v>40</v>
      </c>
      <c r="F24" s="97">
        <f>CashPaidOut6[[#Totals],[Period 2]]</f>
        <v>40</v>
      </c>
      <c r="G24" s="97">
        <f>CashPaidOut6[[#Totals],[Period 3]]</f>
        <v>40</v>
      </c>
      <c r="H24" s="97">
        <f>CashPaidOut6[[#Totals],[Period 4]]</f>
        <v>40</v>
      </c>
      <c r="I24" s="97">
        <f>CashPaidOut6[[#Totals],[Period 5]]</f>
        <v>40</v>
      </c>
      <c r="J24" s="97">
        <f>CashPaidOut6[[#Totals],[Period 6]]</f>
        <v>40</v>
      </c>
      <c r="K24" s="97">
        <f>CashPaidOut6[[#Totals],[Period 7]]</f>
        <v>40</v>
      </c>
      <c r="L24" s="97">
        <f>CashPaidOut6[[#Totals],[Period 8]]</f>
        <v>40</v>
      </c>
      <c r="M24" s="97">
        <f>CashPaidOut6[[#Totals],[Period 9]]</f>
        <v>40</v>
      </c>
      <c r="N24" s="97">
        <f>CashPaidOut6[[#Totals],[Period 10]]</f>
        <v>40</v>
      </c>
      <c r="O24" s="97">
        <f>CashPaidOut6[[#Totals],[Period 11]]</f>
        <v>40</v>
      </c>
      <c r="P24" s="97">
        <f>CashPaidOut6[[#Totals],[Period 12]]</f>
        <v>40</v>
      </c>
      <c r="Q24" s="98"/>
      <c r="R24" s="99">
        <f>SUM(D24:P24)</f>
        <v>480</v>
      </c>
      <c r="S24" s="96"/>
    </row>
    <row r="25" spans="2:19" ht="17.25" customHeight="1" x14ac:dyDescent="0.25">
      <c r="B25" s="87" t="s">
        <v>45</v>
      </c>
      <c r="C25" s="65"/>
      <c r="D25" s="47"/>
      <c r="E25" s="88">
        <f>CashPaidOut69[[#Totals],[Period 1]]-E24</f>
        <v>460</v>
      </c>
      <c r="F25" s="88">
        <f>CashPaidOut69[[#Totals],[Period 2]]-F24</f>
        <v>-40</v>
      </c>
      <c r="G25" s="88">
        <f>CashPaidOut69[[#Totals],[Period 3]]-G24</f>
        <v>-40</v>
      </c>
      <c r="H25" s="88">
        <f>CashPaidOut69[[#Totals],[Period 4]]-H24</f>
        <v>-40</v>
      </c>
      <c r="I25" s="88">
        <f>CashPaidOut69[[#Totals],[Period 5]]-I24</f>
        <v>-40</v>
      </c>
      <c r="J25" s="88">
        <f>CashPaidOut69[[#Totals],[Period 6]]-J24</f>
        <v>-40</v>
      </c>
      <c r="K25" s="88">
        <f>CashPaidOut69[[#Totals],[Period 7]]-K24</f>
        <v>-40</v>
      </c>
      <c r="L25" s="88">
        <f>CashPaidOut69[[#Totals],[Period 8]]-L24</f>
        <v>-40</v>
      </c>
      <c r="M25" s="88">
        <f>CashPaidOut69[[#Totals],[Period 9]]-M24</f>
        <v>-40</v>
      </c>
      <c r="N25" s="88">
        <f>CashPaidOut69[[#Totals],[Period 10]]-N24</f>
        <v>-40</v>
      </c>
      <c r="O25" s="88">
        <f>CashPaidOut69[[#Totals],[Period 11]]-O24</f>
        <v>-40</v>
      </c>
      <c r="P25" s="88">
        <f>CashPaidOut69[[#Totals],[Period 12]]-P24</f>
        <v>-40</v>
      </c>
      <c r="Q25" s="68"/>
      <c r="R25" s="88">
        <f>SUM(E25:Q25)</f>
        <v>20</v>
      </c>
    </row>
    <row r="26" spans="2:19" ht="17.25" customHeight="1" x14ac:dyDescent="0.25"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</row>
    <row r="27" spans="2:19" ht="17.25" customHeight="1" x14ac:dyDescent="0.2">
      <c r="B27" s="39" t="s">
        <v>17</v>
      </c>
      <c r="C27" s="27"/>
      <c r="Q27" s="23"/>
    </row>
    <row r="28" spans="2:19" ht="17.25" customHeight="1" x14ac:dyDescent="0.25">
      <c r="B28" s="40" t="s">
        <v>8</v>
      </c>
      <c r="C28" s="23"/>
      <c r="D28" s="31"/>
      <c r="E28" s="85">
        <f>SUMIFS('קלט תנועות תשלום'!$C:$C,'קלט תנועות תשלום'!$G:$G,'תזרים מזומנים בפועל'!$B28,'קלט תנועות תשלום'!$H:$H,'תזרים מזומנים בפועל'!E$2)</f>
        <v>0</v>
      </c>
      <c r="F28" s="85">
        <f>SUMIFS('קלט תנועות תשלום'!$C:$C,'קלט תנועות תשלום'!$G:$G,'תזרים מזומנים בפועל'!$B28,'קלט תנועות תשלום'!$H:$H,'תזרים מזומנים בפועל'!F$2)</f>
        <v>0</v>
      </c>
      <c r="G28" s="85">
        <f>SUMIFS('קלט תנועות תשלום'!$C:$C,'קלט תנועות תשלום'!$G:$G,'תזרים מזומנים בפועל'!$B28,'קלט תנועות תשלום'!$H:$H,'תזרים מזומנים בפועל'!G$2)</f>
        <v>0</v>
      </c>
      <c r="H28" s="85">
        <f>SUMIFS('קלט תנועות תשלום'!$C:$C,'קלט תנועות תשלום'!$G:$G,'תזרים מזומנים בפועל'!$B28,'קלט תנועות תשלום'!$H:$H,'תזרים מזומנים בפועל'!H$2)</f>
        <v>0</v>
      </c>
      <c r="I28" s="85">
        <f>SUMIFS('קלט תנועות תשלום'!$C:$C,'קלט תנועות תשלום'!$G:$G,'תזרים מזומנים בפועל'!$B28,'קלט תנועות תשלום'!$H:$H,'תזרים מזומנים בפועל'!I$2)</f>
        <v>0</v>
      </c>
      <c r="J28" s="85">
        <f>SUMIFS('קלט תנועות תשלום'!$C:$C,'קלט תנועות תשלום'!$G:$G,'תזרים מזומנים בפועל'!$B28,'קלט תנועות תשלום'!$H:$H,'תזרים מזומנים בפועל'!J$2)</f>
        <v>0</v>
      </c>
      <c r="K28" s="85">
        <f>SUMIFS('קלט תנועות תשלום'!$C:$C,'קלט תנועות תשלום'!$G:$G,'תזרים מזומנים בפועל'!$B28,'קלט תנועות תשלום'!$H:$H,'תזרים מזומנים בפועל'!K$2)</f>
        <v>0</v>
      </c>
      <c r="L28" s="85">
        <f>SUMIFS('קלט תנועות תשלום'!$C:$C,'קלט תנועות תשלום'!$G:$G,'תזרים מזומנים בפועל'!$B28,'קלט תנועות תשלום'!$H:$H,'תזרים מזומנים בפועל'!L$2)</f>
        <v>0</v>
      </c>
      <c r="M28" s="85">
        <f>SUMIFS('קלט תנועות תשלום'!$C:$C,'קלט תנועות תשלום'!$G:$G,'תזרים מזומנים בפועל'!$B28,'קלט תנועות תשלום'!$H:$H,'תזרים מזומנים בפועל'!M$2)</f>
        <v>0</v>
      </c>
      <c r="N28" s="85">
        <f>SUMIFS('קלט תנועות תשלום'!$C:$C,'קלט תנועות תשלום'!$G:$G,'תזרים מזומנים בפועל'!$B28,'קלט תנועות תשלום'!$H:$H,'תזרים מזומנים בפועל'!N$2)</f>
        <v>0</v>
      </c>
      <c r="O28" s="85">
        <f>SUMIFS('קלט תנועות תשלום'!$C:$C,'קלט תנועות תשלום'!$G:$G,'תזרים מזומנים בפועל'!$B28,'קלט תנועות תשלום'!$H:$H,'תזרים מזומנים בפועל'!O$2)</f>
        <v>0</v>
      </c>
      <c r="P28" s="85">
        <f>SUMIFS('קלט תנועות תשלום'!$C:$C,'קלט תנועות תשלום'!$G:$G,'תזרים מזומנים בפועל'!$B28,'קלט תנועות תשלום'!$H:$H,'תזרים מזומנים בפועל'!P$2)</f>
        <v>0</v>
      </c>
      <c r="Q28" s="25"/>
      <c r="R28" s="31">
        <f>SUM(CashPaidOut2710[[#This Row],[Period 0]:[Period 12]])</f>
        <v>0</v>
      </c>
      <c r="S28" s="32"/>
    </row>
    <row r="29" spans="2:19" ht="17.25" customHeight="1" x14ac:dyDescent="0.25">
      <c r="B29" s="40" t="s">
        <v>19</v>
      </c>
      <c r="C29" s="23"/>
      <c r="D29" s="31"/>
      <c r="E29" s="85">
        <f>SUMIFS('קלט תנועות תשלום'!$C:$C,'קלט תנועות תשלום'!$G:$G,'תזרים מזומנים בפועל'!$B29,'קלט תנועות תשלום'!$H:$H,'תזרים מזומנים בפועל'!E$2)</f>
        <v>0</v>
      </c>
      <c r="F29" s="85">
        <f>SUMIFS('קלט תנועות תשלום'!$C:$C,'קלט תנועות תשלום'!$G:$G,'תזרים מזומנים בפועל'!$B29,'קלט תנועות תשלום'!$H:$H,'תזרים מזומנים בפועל'!F$2)</f>
        <v>0</v>
      </c>
      <c r="G29" s="85">
        <f>SUMIFS('קלט תנועות תשלום'!$C:$C,'קלט תנועות תשלום'!$G:$G,'תזרים מזומנים בפועל'!$B29,'קלט תנועות תשלום'!$H:$H,'תזרים מזומנים בפועל'!G$2)</f>
        <v>0</v>
      </c>
      <c r="H29" s="85">
        <f>SUMIFS('קלט תנועות תשלום'!$C:$C,'קלט תנועות תשלום'!$G:$G,'תזרים מזומנים בפועל'!$B29,'קלט תנועות תשלום'!$H:$H,'תזרים מזומנים בפועל'!H$2)</f>
        <v>0</v>
      </c>
      <c r="I29" s="85">
        <f>SUMIFS('קלט תנועות תשלום'!$C:$C,'קלט תנועות תשלום'!$G:$G,'תזרים מזומנים בפועל'!$B29,'קלט תנועות תשלום'!$H:$H,'תזרים מזומנים בפועל'!I$2)</f>
        <v>0</v>
      </c>
      <c r="J29" s="85">
        <f>SUMIFS('קלט תנועות תשלום'!$C:$C,'קלט תנועות תשלום'!$G:$G,'תזרים מזומנים בפועל'!$B29,'קלט תנועות תשלום'!$H:$H,'תזרים מזומנים בפועל'!J$2)</f>
        <v>0</v>
      </c>
      <c r="K29" s="85">
        <f>SUMIFS('קלט תנועות תשלום'!$C:$C,'קלט תנועות תשלום'!$G:$G,'תזרים מזומנים בפועל'!$B29,'קלט תנועות תשלום'!$H:$H,'תזרים מזומנים בפועל'!K$2)</f>
        <v>0</v>
      </c>
      <c r="L29" s="85">
        <f>SUMIFS('קלט תנועות תשלום'!$C:$C,'קלט תנועות תשלום'!$G:$G,'תזרים מזומנים בפועל'!$B29,'קלט תנועות תשלום'!$H:$H,'תזרים מזומנים בפועל'!L$2)</f>
        <v>0</v>
      </c>
      <c r="M29" s="85">
        <f>SUMIFS('קלט תנועות תשלום'!$C:$C,'קלט תנועות תשלום'!$G:$G,'תזרים מזומנים בפועל'!$B29,'קלט תנועות תשלום'!$H:$H,'תזרים מזומנים בפועל'!M$2)</f>
        <v>0</v>
      </c>
      <c r="N29" s="85">
        <f>SUMIFS('קלט תנועות תשלום'!$C:$C,'קלט תנועות תשלום'!$G:$G,'תזרים מזומנים בפועל'!$B29,'קלט תנועות תשלום'!$H:$H,'תזרים מזומנים בפועל'!N$2)</f>
        <v>0</v>
      </c>
      <c r="O29" s="85">
        <f>SUMIFS('קלט תנועות תשלום'!$C:$C,'קלט תנועות תשלום'!$G:$G,'תזרים מזומנים בפועל'!$B29,'קלט תנועות תשלום'!$H:$H,'תזרים מזומנים בפועל'!O$2)</f>
        <v>0</v>
      </c>
      <c r="P29" s="85">
        <f>SUMIFS('קלט תנועות תשלום'!$C:$C,'קלט תנועות תשלום'!$G:$G,'תזרים מזומנים בפועל'!$B29,'קלט תנועות תשלום'!$H:$H,'תזרים מזומנים בפועל'!P$2)</f>
        <v>0</v>
      </c>
      <c r="Q29" s="25"/>
      <c r="R29" s="31">
        <f>SUM(CashPaidOut2710[[#This Row],[Period 0]:[Period 12]])</f>
        <v>0</v>
      </c>
      <c r="S29" s="32"/>
    </row>
    <row r="30" spans="2:19" ht="17.25" customHeight="1" x14ac:dyDescent="0.25">
      <c r="B30" s="40" t="s">
        <v>9</v>
      </c>
      <c r="C30" s="23"/>
      <c r="D30" s="31"/>
      <c r="E30" s="85">
        <f>SUMIFS('קלט תנועות תשלום'!$C:$C,'קלט תנועות תשלום'!$G:$G,'תזרים מזומנים בפועל'!$B30,'קלט תנועות תשלום'!$H:$H,'תזרים מזומנים בפועל'!E$2)</f>
        <v>0</v>
      </c>
      <c r="F30" s="85">
        <f>SUMIFS('קלט תנועות תשלום'!$C:$C,'קלט תנועות תשלום'!$G:$G,'תזרים מזומנים בפועל'!$B30,'קלט תנועות תשלום'!$H:$H,'תזרים מזומנים בפועל'!F$2)</f>
        <v>0</v>
      </c>
      <c r="G30" s="85">
        <f>SUMIFS('קלט תנועות תשלום'!$C:$C,'קלט תנועות תשלום'!$G:$G,'תזרים מזומנים בפועל'!$B30,'קלט תנועות תשלום'!$H:$H,'תזרים מזומנים בפועל'!G$2)</f>
        <v>0</v>
      </c>
      <c r="H30" s="85">
        <f>SUMIFS('קלט תנועות תשלום'!$C:$C,'קלט תנועות תשלום'!$G:$G,'תזרים מזומנים בפועל'!$B30,'קלט תנועות תשלום'!$H:$H,'תזרים מזומנים בפועל'!H$2)</f>
        <v>0</v>
      </c>
      <c r="I30" s="85">
        <f>SUMIFS('קלט תנועות תשלום'!$C:$C,'קלט תנועות תשלום'!$G:$G,'תזרים מזומנים בפועל'!$B30,'קלט תנועות תשלום'!$H:$H,'תזרים מזומנים בפועל'!I$2)</f>
        <v>0</v>
      </c>
      <c r="J30" s="85">
        <f>SUMIFS('קלט תנועות תשלום'!$C:$C,'קלט תנועות תשלום'!$G:$G,'תזרים מזומנים בפועל'!$B30,'קלט תנועות תשלום'!$H:$H,'תזרים מזומנים בפועל'!J$2)</f>
        <v>0</v>
      </c>
      <c r="K30" s="85">
        <f>SUMIFS('קלט תנועות תשלום'!$C:$C,'קלט תנועות תשלום'!$G:$G,'תזרים מזומנים בפועל'!$B30,'קלט תנועות תשלום'!$H:$H,'תזרים מזומנים בפועל'!K$2)</f>
        <v>0</v>
      </c>
      <c r="L30" s="85">
        <f>SUMIFS('קלט תנועות תשלום'!$C:$C,'קלט תנועות תשלום'!$G:$G,'תזרים מזומנים בפועל'!$B30,'קלט תנועות תשלום'!$H:$H,'תזרים מזומנים בפועל'!L$2)</f>
        <v>0</v>
      </c>
      <c r="M30" s="85">
        <f>SUMIFS('קלט תנועות תשלום'!$C:$C,'קלט תנועות תשלום'!$G:$G,'תזרים מזומנים בפועל'!$B30,'קלט תנועות תשלום'!$H:$H,'תזרים מזומנים בפועל'!M$2)</f>
        <v>0</v>
      </c>
      <c r="N30" s="85">
        <f>SUMIFS('קלט תנועות תשלום'!$C:$C,'קלט תנועות תשלום'!$G:$G,'תזרים מזומנים בפועל'!$B30,'קלט תנועות תשלום'!$H:$H,'תזרים מזומנים בפועל'!N$2)</f>
        <v>0</v>
      </c>
      <c r="O30" s="85">
        <f>SUMIFS('קלט תנועות תשלום'!$C:$C,'קלט תנועות תשלום'!$G:$G,'תזרים מזומנים בפועל'!$B30,'קלט תנועות תשלום'!$H:$H,'תזרים מזומנים בפועל'!O$2)</f>
        <v>0</v>
      </c>
      <c r="P30" s="85">
        <f>SUMIFS('קלט תנועות תשלום'!$C:$C,'קלט תנועות תשלום'!$G:$G,'תזרים מזומנים בפועל'!$B30,'קלט תנועות תשלום'!$H:$H,'תזרים מזומנים בפועל'!P$2)</f>
        <v>0</v>
      </c>
      <c r="Q30" s="25"/>
      <c r="R30" s="31">
        <f>SUM(CashPaidOut2710[[#This Row],[Period 0]:[Period 12]])</f>
        <v>0</v>
      </c>
      <c r="S30" s="32"/>
    </row>
    <row r="31" spans="2:19" ht="17.25" customHeight="1" thickBot="1" x14ac:dyDescent="0.25">
      <c r="B31" s="89" t="s">
        <v>46</v>
      </c>
      <c r="C31" s="23"/>
      <c r="D31" s="90">
        <f>SUBTOTAL(109,CashPaidOut2710[Period 0])</f>
        <v>0</v>
      </c>
      <c r="E31" s="91">
        <f>SUBTOTAL(109,CashPaidOut2710[Period 1])</f>
        <v>0</v>
      </c>
      <c r="F31" s="91">
        <f>SUBTOTAL(109,CashPaidOut2710[Period 2])</f>
        <v>0</v>
      </c>
      <c r="G31" s="91">
        <f>SUBTOTAL(109,CashPaidOut2710[Period 3])</f>
        <v>0</v>
      </c>
      <c r="H31" s="91">
        <f>SUBTOTAL(109,CashPaidOut2710[Period 4])</f>
        <v>0</v>
      </c>
      <c r="I31" s="91">
        <f>SUBTOTAL(109,CashPaidOut2710[Period 5])</f>
        <v>0</v>
      </c>
      <c r="J31" s="91">
        <f>SUBTOTAL(109,CashPaidOut2710[Period 6])</f>
        <v>0</v>
      </c>
      <c r="K31" s="91">
        <f>SUBTOTAL(109,CashPaidOut2710[Period 7])</f>
        <v>0</v>
      </c>
      <c r="L31" s="91">
        <f>SUBTOTAL(109,CashPaidOut2710[Period 8])</f>
        <v>0</v>
      </c>
      <c r="M31" s="91">
        <f>SUBTOTAL(109,CashPaidOut2710[Period 9])</f>
        <v>0</v>
      </c>
      <c r="N31" s="91">
        <f>SUBTOTAL(109,CashPaidOut2710[Period 10])</f>
        <v>0</v>
      </c>
      <c r="O31" s="91">
        <f>SUBTOTAL(109,CashPaidOut2710[Period 11])</f>
        <v>0</v>
      </c>
      <c r="P31" s="91">
        <f>SUBTOTAL(109,CashPaidOut2710[Period 12])</f>
        <v>0</v>
      </c>
      <c r="Q31" s="92"/>
      <c r="R31" s="93">
        <f>SUBTOTAL(109,CashPaidOut2710[Total])</f>
        <v>0</v>
      </c>
      <c r="S31" s="33"/>
    </row>
    <row r="32" spans="2:19" ht="17.25" customHeight="1" thickBot="1" x14ac:dyDescent="0.3">
      <c r="B32" s="56" t="s">
        <v>47</v>
      </c>
      <c r="C32" s="65"/>
      <c r="D32" s="58"/>
      <c r="E32" s="97">
        <f>CashPaidOut27[[#Totals],[Period 1]]</f>
        <v>10</v>
      </c>
      <c r="F32" s="97">
        <f>CashPaidOut27[[#Totals],[Period 2]]</f>
        <v>10</v>
      </c>
      <c r="G32" s="97">
        <f>CashPaidOut27[[#Totals],[Period 3]]</f>
        <v>10</v>
      </c>
      <c r="H32" s="97">
        <f>CashPaidOut27[[#Totals],[Period 4]]</f>
        <v>20</v>
      </c>
      <c r="I32" s="97">
        <f>CashPaidOut27[[#Totals],[Period 5]]</f>
        <v>10</v>
      </c>
      <c r="J32" s="97">
        <f>CashPaidOut27[[#Totals],[Period 6]]</f>
        <v>10</v>
      </c>
      <c r="K32" s="97">
        <f>CashPaidOut27[[#Totals],[Period 7]]</f>
        <v>10</v>
      </c>
      <c r="L32" s="97">
        <f>CashPaidOut27[[#Totals],[Period 8]]</f>
        <v>10</v>
      </c>
      <c r="M32" s="97">
        <f>CashPaidOut27[[#Totals],[Period 9]]</f>
        <v>20</v>
      </c>
      <c r="N32" s="97">
        <f>CashPaidOut27[[#Totals],[Period 10]]</f>
        <v>10</v>
      </c>
      <c r="O32" s="97">
        <f>CashPaidOut27[[#Totals],[Period 11]]</f>
        <v>10</v>
      </c>
      <c r="P32" s="97">
        <f>CashPaidOut27[[#Totals],[Period 12]]</f>
        <v>10</v>
      </c>
      <c r="Q32" s="98"/>
      <c r="R32" s="99">
        <f>SUM(D32:P32)</f>
        <v>140</v>
      </c>
      <c r="S32" s="96"/>
    </row>
    <row r="33" spans="2:19" ht="17.25" customHeight="1" x14ac:dyDescent="0.25">
      <c r="B33" s="87" t="s">
        <v>48</v>
      </c>
      <c r="C33" s="65"/>
      <c r="D33" s="47"/>
      <c r="E33" s="88">
        <f>CashPaidOut2710[[#Totals],[Period 1]]-E32</f>
        <v>-10</v>
      </c>
      <c r="F33" s="88">
        <f>CashPaidOut2710[[#Totals],[Period 2]]-F32</f>
        <v>-10</v>
      </c>
      <c r="G33" s="88">
        <f>CashPaidOut2710[[#Totals],[Period 3]]-G32</f>
        <v>-10</v>
      </c>
      <c r="H33" s="88">
        <f>CashPaidOut2710[[#Totals],[Period 4]]-H32</f>
        <v>-20</v>
      </c>
      <c r="I33" s="88">
        <f>CashPaidOut2710[[#Totals],[Period 5]]-I32</f>
        <v>-10</v>
      </c>
      <c r="J33" s="88">
        <f>CashPaidOut2710[[#Totals],[Period 6]]-J32</f>
        <v>-10</v>
      </c>
      <c r="K33" s="88">
        <f>CashPaidOut2710[[#Totals],[Period 7]]-K32</f>
        <v>-10</v>
      </c>
      <c r="L33" s="88">
        <f>CashPaidOut2710[[#Totals],[Period 8]]-L32</f>
        <v>-10</v>
      </c>
      <c r="M33" s="88">
        <f>CashPaidOut2710[[#Totals],[Period 9]]-M32</f>
        <v>-20</v>
      </c>
      <c r="N33" s="88">
        <f>CashPaidOut2710[[#Totals],[Period 10]]-N32</f>
        <v>-10</v>
      </c>
      <c r="O33" s="88">
        <f>CashPaidOut2710[[#Totals],[Period 11]]-O32</f>
        <v>-10</v>
      </c>
      <c r="P33" s="88">
        <f>CashPaidOut2710[[#Totals],[Period 12]]-P32</f>
        <v>-10</v>
      </c>
      <c r="Q33" s="68"/>
      <c r="R33" s="88"/>
    </row>
    <row r="34" spans="2:19" ht="17.25" customHeight="1" thickBot="1" x14ac:dyDescent="0.25">
      <c r="B34" s="56" t="s">
        <v>49</v>
      </c>
      <c r="C34" s="57"/>
      <c r="D34" s="58">
        <f>SUM(CashPaidOut69[Period 0],CashPaidOut2710[Period 0])</f>
        <v>0</v>
      </c>
      <c r="E34" s="59">
        <f>SUM(CashPaidOut69[Period 1],CashPaidOut2710[Period 1])</f>
        <v>500</v>
      </c>
      <c r="F34" s="59">
        <f>SUM(CashPaidOut69[Period 2],CashPaidOut2710[Period 2])</f>
        <v>0</v>
      </c>
      <c r="G34" s="59">
        <f>SUM(CashPaidOut69[Period 3],CashPaidOut2710[Period 3])</f>
        <v>0</v>
      </c>
      <c r="H34" s="59">
        <f>SUM(CashPaidOut69[Period 4],CashPaidOut2710[Period 4])</f>
        <v>0</v>
      </c>
      <c r="I34" s="59">
        <f>SUM(CashPaidOut69[Period 5],CashPaidOut2710[Period 5])</f>
        <v>0</v>
      </c>
      <c r="J34" s="59">
        <f>SUM(CashPaidOut69[Period 6],CashPaidOut2710[Period 6])</f>
        <v>0</v>
      </c>
      <c r="K34" s="59">
        <f>SUM(CashPaidOut69[Period 7],CashPaidOut2710[Period 7])</f>
        <v>0</v>
      </c>
      <c r="L34" s="59">
        <f>SUM(CashPaidOut69[Period 8],CashPaidOut2710[Period 8])</f>
        <v>0</v>
      </c>
      <c r="M34" s="59">
        <f>SUM(CashPaidOut69[Period 9],CashPaidOut2710[Period 9])</f>
        <v>0</v>
      </c>
      <c r="N34" s="59">
        <f>SUM(CashPaidOut69[Period 10],CashPaidOut2710[Period 10])</f>
        <v>0</v>
      </c>
      <c r="O34" s="59">
        <f>SUM(CashPaidOut69[Period 11],CashPaidOut2710[Period 11])</f>
        <v>0</v>
      </c>
      <c r="P34" s="59">
        <f>SUM(CashPaidOut69[Period 12],CashPaidOut2710[Period 12])</f>
        <v>0</v>
      </c>
      <c r="Q34" s="60"/>
      <c r="R34" s="61">
        <f>SUM(CashPaidOut69[Total],CashPaidOut2710[Total])</f>
        <v>500</v>
      </c>
      <c r="S34" s="34"/>
    </row>
    <row r="35" spans="2:19" s="41" customFormat="1" ht="17.25" customHeight="1" x14ac:dyDescent="0.2"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</row>
    <row r="36" spans="2:19" ht="17.25" customHeight="1" thickBot="1" x14ac:dyDescent="0.25">
      <c r="B36" s="62" t="s">
        <v>50</v>
      </c>
      <c r="C36" s="27"/>
      <c r="D36" s="100">
        <f>D16-D34</f>
        <v>110</v>
      </c>
      <c r="E36" s="100">
        <f>E16-E34</f>
        <v>-240</v>
      </c>
      <c r="F36" s="100">
        <f>F16-F34</f>
        <v>-240</v>
      </c>
      <c r="G36" s="100">
        <f>G16-G34</f>
        <v>-240</v>
      </c>
      <c r="H36" s="100">
        <f>H16-H34</f>
        <v>-240</v>
      </c>
      <c r="I36" s="100">
        <f>I16-I34</f>
        <v>-240</v>
      </c>
      <c r="J36" s="100">
        <f>J16-J34</f>
        <v>-240</v>
      </c>
      <c r="K36" s="100">
        <f>K16-K34</f>
        <v>-240</v>
      </c>
      <c r="L36" s="100">
        <f>L16-L34</f>
        <v>-240</v>
      </c>
      <c r="M36" s="100">
        <f>M16-M34</f>
        <v>-240</v>
      </c>
      <c r="N36" s="100">
        <f>N16-N34</f>
        <v>-240</v>
      </c>
      <c r="O36" s="100">
        <f>O16-O34</f>
        <v>-240</v>
      </c>
      <c r="P36" s="100">
        <f>P16-P34</f>
        <v>-240</v>
      </c>
      <c r="Q36" s="27"/>
      <c r="R36" s="63">
        <f>R16-R34</f>
        <v>-500</v>
      </c>
      <c r="S36" s="34"/>
    </row>
  </sheetData>
  <sheetProtection algorithmName="SHA-512" hashValue="81fzjgfIVJg2DuaWx3ruQtgoVk/yTWgRAtQXiuPsfQ2XMQjsAyBlWnojIHeiesnqF14P30oco4Q/0GgQF/ioaQ==" saltValue="a1CT3OT6dknX1alZcQGB+Q==" spinCount="100000" sheet="1" objects="1" scenarios="1"/>
  <mergeCells count="3">
    <mergeCell ref="B17:S17"/>
    <mergeCell ref="B26:S26"/>
    <mergeCell ref="B35:S35"/>
  </mergeCells>
  <conditionalFormatting sqref="E7:P7">
    <cfRule type="expression" dxfId="76" priority="7">
      <formula>E7&lt;0</formula>
    </cfRule>
  </conditionalFormatting>
  <conditionalFormatting sqref="E36:P36">
    <cfRule type="expression" dxfId="75" priority="6">
      <formula>E36&lt;0</formula>
    </cfRule>
  </conditionalFormatting>
  <conditionalFormatting sqref="E16:P16">
    <cfRule type="expression" dxfId="74" priority="5">
      <formula>E16&lt;0</formula>
    </cfRule>
  </conditionalFormatting>
  <conditionalFormatting sqref="E23:P23">
    <cfRule type="expression" dxfId="73" priority="3">
      <formula>E23&lt;0</formula>
    </cfRule>
  </conditionalFormatting>
  <conditionalFormatting sqref="E31:P31">
    <cfRule type="expression" dxfId="72" priority="1">
      <formula>E31&lt;0</formula>
    </cfRule>
  </conditionalFormatting>
  <printOptions horizontalCentered="1" verticalCentered="1"/>
  <pageMargins left="0.5" right="0.5" top="0.5" bottom="0.5" header="0.3" footer="0.3"/>
  <pageSetup scale="65" orientation="landscape" r:id="rId1"/>
  <headerFooter>
    <oddHeader>&amp;L&amp;"Tahoma,רגיל"הופק בתאריך &amp;D&amp;C&amp;"Tahoma,רגיל"&amp;F
&amp;A</oddHeader>
    <oddFooter>&amp;Cמודל תזרים מזומנים, 
נערך ע"י רו"ח טובי קרויזר
tovi19@gmail.com</oddFooter>
  </headerFooter>
  <drawing r:id="rId2"/>
  <tableParts count="3">
    <tablePart r:id="rId3"/>
    <tablePart r:id="rId4"/>
    <tablePart r:id="rId5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8" id="{8B994BEE-CE83-459E-B25B-D0818FE3FA4D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E7:R7</xm:sqref>
        </x14:conditionalFormatting>
        <x14:conditionalFormatting xmlns:xm="http://schemas.microsoft.com/office/excel/2006/main">
          <x14:cfRule type="iconSet" priority="9" id="{7D4BDEAC-0D66-4557-AA52-DBD3CE6D8A1D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D16:R16</xm:sqref>
        </x14:conditionalFormatting>
        <x14:conditionalFormatting xmlns:xm="http://schemas.microsoft.com/office/excel/2006/main">
          <x14:cfRule type="iconSet" priority="10" id="{5B0A756E-D595-45D2-AF92-9DD9E4362958}">
            <x14:iconSet iconSet="3Flags" custom="1">
              <x14:cfvo type="percent">
                <xm:f>0</xm:f>
              </x14:cfvo>
              <x14:cfvo type="num" gte="0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D36:P36 R36</xm:sqref>
        </x14:conditionalFormatting>
        <x14:conditionalFormatting xmlns:xm="http://schemas.microsoft.com/office/excel/2006/main">
          <x14:cfRule type="iconSet" priority="4" id="{42F3AEB6-93F2-48F7-BB89-D059D297751A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D23:R23</xm:sqref>
        </x14:conditionalFormatting>
        <x14:conditionalFormatting xmlns:xm="http://schemas.microsoft.com/office/excel/2006/main">
          <x14:cfRule type="iconSet" priority="2" id="{E4A3FBA3-93E0-43A0-BBFD-76FF8795994B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D31:R31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displayEmptyCellsAs="gap" markers="1" xr2:uid="{92DBD20A-EFB4-479E-89B0-AA49AF22415B}">
          <x14:colorSeries theme="0" tint="-0.34998626667073579"/>
          <x14:colorNegative theme="9"/>
          <x14:colorAxis rgb="FF000000"/>
          <x14:colorMarkers theme="9"/>
          <x14:colorFirst theme="4"/>
          <x14:colorLast theme="5"/>
          <x14:colorHigh theme="6"/>
          <x14:colorLow theme="7"/>
          <x14:sparklines>
            <x14:sparkline>
              <xm:f>'תזרים מזומנים בפועל'!D36:P36</xm:f>
              <xm:sqref>S36</xm:sqref>
            </x14:sparkline>
            <x14:sparkline>
              <xm:f>'תזרים מזומנים בפועל'!D16:P16</xm:f>
              <xm:sqref>S16</xm:sqref>
            </x14:sparkline>
            <x14:sparkline>
              <xm:f>'תזרים מזומנים בפועל'!D31:P31</xm:f>
              <xm:sqref>S31</xm:sqref>
            </x14:sparkline>
            <x14:sparkline>
              <xm:f>'תזרים מזומנים בפועל'!D33:P33</xm:f>
              <xm:sqref>S33</xm:sqref>
            </x14:sparkline>
            <x14:sparkline>
              <xm:f>'תזרים מזומנים בפועל'!D34:P34</xm:f>
              <xm:sqref>S34</xm:sqref>
            </x14:sparkline>
            <x14:sparkline>
              <xm:f>'תזרים מזומנים בפועל'!D23:P23</xm:f>
              <xm:sqref>S23</xm:sqref>
            </x14:sparkline>
            <x14:sparkline>
              <xm:f>'תזרים מזומנים בפועל'!D24:P24</xm:f>
              <xm:sqref>S24</xm:sqref>
            </x14:sparkline>
            <x14:sparkline>
              <xm:f>'תזרים מזומנים בפועל'!D25:P25</xm:f>
              <xm:sqref>S25</xm:sqref>
            </x14:sparkline>
            <x14:sparkline>
              <xm:f>'תזרים מזומנים בפועל'!D7:P7</xm:f>
              <xm:sqref>S7</xm:sqref>
            </x14:sparkline>
            <x14:sparkline>
              <xm:f>'תזרים מזומנים בפועל'!D13:P13</xm:f>
              <xm:sqref>S13</xm:sqref>
            </x14:sparkline>
            <x14:sparkline>
              <xm:f>'תזרים מזומנים בפועל'!D14:P14</xm:f>
              <xm:sqref>S14</xm:sqref>
            </x14:sparkline>
            <x14:sparkline>
              <xm:f>'תזרים מזומנים בפועל'!D15:P15</xm:f>
              <xm:sqref>S15</xm:sqref>
            </x14:sparkline>
          </x14:sparklines>
        </x14:sparklineGroup>
        <x14:sparklineGroup displayEmptyCellsAs="gap" markers="1" xr2:uid="{639712A0-508C-4D09-8657-302D443C2B8A}">
          <x14:colorSeries theme="0" tint="-0.34998626667073579"/>
          <x14:colorNegative theme="9"/>
          <x14:colorAxis rgb="FF000000"/>
          <x14:colorMarkers theme="9"/>
          <x14:colorFirst theme="4"/>
          <x14:colorLast theme="5"/>
          <x14:colorHigh theme="6"/>
          <x14:colorLow theme="7"/>
          <x14:sparklines>
            <x14:sparkline>
              <xm:f>'תזרים מזומנים בפועל'!D32:P32</xm:f>
              <xm:sqref>S32</xm:sqref>
            </x14:sparkline>
          </x14:sparklines>
        </x14:sparklineGroup>
      </x14:sparklineGroup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50951-F901-47E8-9318-1EFFA24982C6}">
  <dimension ref="A1:S345"/>
  <sheetViews>
    <sheetView rightToLeft="1" workbookViewId="0">
      <selection activeCell="G35" sqref="G35"/>
    </sheetView>
  </sheetViews>
  <sheetFormatPr defaultRowHeight="11.25" x14ac:dyDescent="0.25"/>
  <cols>
    <col min="1" max="6" width="9" style="74"/>
    <col min="7" max="7" width="12.5" style="74" customWidth="1"/>
    <col min="8" max="8" width="9" style="106"/>
    <col min="9" max="18" width="9" style="74"/>
    <col min="19" max="19" width="15.5" style="74" customWidth="1"/>
    <col min="20" max="16384" width="9" style="74"/>
  </cols>
  <sheetData>
    <row r="1" spans="1:19" x14ac:dyDescent="0.25">
      <c r="A1" s="71" t="s">
        <v>24</v>
      </c>
      <c r="B1" s="71" t="s">
        <v>25</v>
      </c>
      <c r="C1" s="71" t="s">
        <v>26</v>
      </c>
      <c r="D1" s="72" t="s">
        <v>27</v>
      </c>
      <c r="E1" s="72" t="s">
        <v>28</v>
      </c>
      <c r="F1" s="72" t="s">
        <v>29</v>
      </c>
      <c r="G1" s="73" t="s">
        <v>30</v>
      </c>
      <c r="H1" s="105" t="s">
        <v>32</v>
      </c>
      <c r="S1" s="75" t="s">
        <v>31</v>
      </c>
    </row>
    <row r="2" spans="1:19" x14ac:dyDescent="0.25">
      <c r="A2" s="78">
        <v>43831</v>
      </c>
      <c r="B2" s="79" t="s">
        <v>33</v>
      </c>
      <c r="C2" s="79">
        <v>500</v>
      </c>
      <c r="D2" s="79" t="s">
        <v>34</v>
      </c>
      <c r="E2" s="79" t="s">
        <v>35</v>
      </c>
      <c r="F2" s="79">
        <v>111</v>
      </c>
      <c r="G2" s="83" t="s">
        <v>14</v>
      </c>
      <c r="H2" s="105">
        <f>MONTH(A2)</f>
        <v>1</v>
      </c>
      <c r="S2" s="76" t="s">
        <v>14</v>
      </c>
    </row>
    <row r="3" spans="1:19" x14ac:dyDescent="0.25">
      <c r="A3" s="80"/>
      <c r="B3" s="80"/>
      <c r="C3" s="80"/>
      <c r="D3" s="80"/>
      <c r="E3" s="80"/>
      <c r="F3" s="80"/>
      <c r="G3" s="82"/>
      <c r="H3" s="105">
        <f t="shared" ref="H3:H66" si="0">MONTH(A3)</f>
        <v>1</v>
      </c>
      <c r="S3" s="76" t="s">
        <v>15</v>
      </c>
    </row>
    <row r="4" spans="1:19" x14ac:dyDescent="0.25">
      <c r="A4" s="80"/>
      <c r="B4" s="80"/>
      <c r="C4" s="80"/>
      <c r="D4" s="80"/>
      <c r="E4" s="80"/>
      <c r="F4" s="80"/>
      <c r="G4" s="82"/>
      <c r="H4" s="105">
        <f t="shared" si="0"/>
        <v>1</v>
      </c>
      <c r="S4" s="76" t="s">
        <v>7</v>
      </c>
    </row>
    <row r="5" spans="1:19" x14ac:dyDescent="0.25">
      <c r="A5" s="81"/>
      <c r="B5" s="80"/>
      <c r="C5" s="80"/>
      <c r="D5" s="80"/>
      <c r="E5" s="80"/>
      <c r="F5" s="80"/>
      <c r="G5" s="82"/>
      <c r="H5" s="105">
        <f t="shared" si="0"/>
        <v>1</v>
      </c>
      <c r="S5" s="76" t="s">
        <v>16</v>
      </c>
    </row>
    <row r="6" spans="1:19" x14ac:dyDescent="0.25">
      <c r="A6" s="80"/>
      <c r="B6" s="80"/>
      <c r="C6" s="80"/>
      <c r="D6" s="80"/>
      <c r="E6" s="80"/>
      <c r="F6" s="80"/>
      <c r="G6" s="82"/>
      <c r="H6" s="105">
        <f t="shared" si="0"/>
        <v>1</v>
      </c>
      <c r="S6" s="76" t="s">
        <v>8</v>
      </c>
    </row>
    <row r="7" spans="1:19" x14ac:dyDescent="0.25">
      <c r="A7" s="80"/>
      <c r="B7" s="80"/>
      <c r="C7" s="80"/>
      <c r="D7" s="80"/>
      <c r="E7" s="80"/>
      <c r="F7" s="80"/>
      <c r="G7" s="82"/>
      <c r="H7" s="105">
        <f t="shared" si="0"/>
        <v>1</v>
      </c>
      <c r="S7" s="76" t="s">
        <v>19</v>
      </c>
    </row>
    <row r="8" spans="1:19" ht="12" thickBot="1" x14ac:dyDescent="0.3">
      <c r="A8" s="80"/>
      <c r="B8" s="80"/>
      <c r="C8" s="80"/>
      <c r="D8" s="80"/>
      <c r="E8" s="80"/>
      <c r="F8" s="80"/>
      <c r="G8" s="82"/>
      <c r="H8" s="105">
        <f t="shared" si="0"/>
        <v>1</v>
      </c>
      <c r="S8" s="77" t="s">
        <v>9</v>
      </c>
    </row>
    <row r="9" spans="1:19" x14ac:dyDescent="0.25">
      <c r="A9" s="80"/>
      <c r="B9" s="80"/>
      <c r="C9" s="80"/>
      <c r="D9" s="80"/>
      <c r="E9" s="80"/>
      <c r="F9" s="80"/>
      <c r="G9" s="82"/>
      <c r="H9" s="105">
        <f t="shared" si="0"/>
        <v>1</v>
      </c>
    </row>
    <row r="10" spans="1:19" x14ac:dyDescent="0.25">
      <c r="A10" s="80"/>
      <c r="B10" s="80"/>
      <c r="C10" s="80"/>
      <c r="D10" s="80"/>
      <c r="E10" s="80"/>
      <c r="F10" s="80"/>
      <c r="G10" s="82"/>
      <c r="H10" s="105">
        <f t="shared" si="0"/>
        <v>1</v>
      </c>
    </row>
    <row r="11" spans="1:19" x14ac:dyDescent="0.25">
      <c r="A11" s="80"/>
      <c r="B11" s="80"/>
      <c r="C11" s="80"/>
      <c r="D11" s="80"/>
      <c r="E11" s="80"/>
      <c r="F11" s="80"/>
      <c r="G11" s="82"/>
      <c r="H11" s="105">
        <f t="shared" si="0"/>
        <v>1</v>
      </c>
    </row>
    <row r="12" spans="1:19" x14ac:dyDescent="0.25">
      <c r="A12" s="80"/>
      <c r="B12" s="80"/>
      <c r="C12" s="80"/>
      <c r="D12" s="80"/>
      <c r="E12" s="80"/>
      <c r="F12" s="80"/>
      <c r="G12" s="82"/>
      <c r="H12" s="105">
        <f t="shared" si="0"/>
        <v>1</v>
      </c>
    </row>
    <row r="13" spans="1:19" x14ac:dyDescent="0.25">
      <c r="A13" s="80"/>
      <c r="B13" s="80"/>
      <c r="C13" s="80"/>
      <c r="D13" s="80"/>
      <c r="E13" s="80"/>
      <c r="F13" s="80"/>
      <c r="G13" s="82"/>
      <c r="H13" s="105">
        <f t="shared" si="0"/>
        <v>1</v>
      </c>
    </row>
    <row r="14" spans="1:19" x14ac:dyDescent="0.25">
      <c r="A14" s="80"/>
      <c r="B14" s="80"/>
      <c r="C14" s="80"/>
      <c r="D14" s="80"/>
      <c r="E14" s="80"/>
      <c r="F14" s="80"/>
      <c r="G14" s="82"/>
      <c r="H14" s="105">
        <f t="shared" si="0"/>
        <v>1</v>
      </c>
    </row>
    <row r="15" spans="1:19" x14ac:dyDescent="0.25">
      <c r="A15" s="80"/>
      <c r="B15" s="80"/>
      <c r="C15" s="80"/>
      <c r="D15" s="80"/>
      <c r="E15" s="80"/>
      <c r="F15" s="80"/>
      <c r="G15" s="82"/>
      <c r="H15" s="105">
        <f t="shared" si="0"/>
        <v>1</v>
      </c>
    </row>
    <row r="16" spans="1:19" x14ac:dyDescent="0.25">
      <c r="A16" s="80"/>
      <c r="B16" s="80"/>
      <c r="C16" s="80"/>
      <c r="D16" s="80"/>
      <c r="E16" s="80"/>
      <c r="F16" s="80"/>
      <c r="G16" s="82"/>
      <c r="H16" s="105">
        <f t="shared" si="0"/>
        <v>1</v>
      </c>
    </row>
    <row r="17" spans="1:8" x14ac:dyDescent="0.25">
      <c r="A17" s="80"/>
      <c r="B17" s="80"/>
      <c r="C17" s="80"/>
      <c r="D17" s="80"/>
      <c r="E17" s="80"/>
      <c r="F17" s="80"/>
      <c r="G17" s="82"/>
      <c r="H17" s="105">
        <f t="shared" si="0"/>
        <v>1</v>
      </c>
    </row>
    <row r="18" spans="1:8" x14ac:dyDescent="0.25">
      <c r="A18" s="80"/>
      <c r="B18" s="80"/>
      <c r="C18" s="80"/>
      <c r="D18" s="80"/>
      <c r="E18" s="80"/>
      <c r="F18" s="80"/>
      <c r="G18" s="82"/>
      <c r="H18" s="105">
        <f t="shared" si="0"/>
        <v>1</v>
      </c>
    </row>
    <row r="19" spans="1:8" x14ac:dyDescent="0.25">
      <c r="A19" s="80"/>
      <c r="B19" s="80"/>
      <c r="C19" s="80"/>
      <c r="D19" s="80"/>
      <c r="E19" s="80"/>
      <c r="F19" s="80"/>
      <c r="G19" s="82"/>
      <c r="H19" s="105">
        <f t="shared" si="0"/>
        <v>1</v>
      </c>
    </row>
    <row r="20" spans="1:8" x14ac:dyDescent="0.25">
      <c r="A20" s="80"/>
      <c r="B20" s="80"/>
      <c r="C20" s="80"/>
      <c r="D20" s="80"/>
      <c r="E20" s="80"/>
      <c r="F20" s="80"/>
      <c r="G20" s="82"/>
      <c r="H20" s="105">
        <f t="shared" si="0"/>
        <v>1</v>
      </c>
    </row>
    <row r="21" spans="1:8" x14ac:dyDescent="0.25">
      <c r="A21" s="80"/>
      <c r="B21" s="80"/>
      <c r="C21" s="80"/>
      <c r="D21" s="80"/>
      <c r="E21" s="80"/>
      <c r="F21" s="80"/>
      <c r="G21" s="82"/>
      <c r="H21" s="105">
        <f t="shared" si="0"/>
        <v>1</v>
      </c>
    </row>
    <row r="22" spans="1:8" x14ac:dyDescent="0.25">
      <c r="A22" s="80"/>
      <c r="B22" s="80"/>
      <c r="C22" s="80"/>
      <c r="D22" s="80"/>
      <c r="E22" s="80"/>
      <c r="F22" s="80"/>
      <c r="G22" s="82"/>
      <c r="H22" s="105">
        <f t="shared" si="0"/>
        <v>1</v>
      </c>
    </row>
    <row r="23" spans="1:8" x14ac:dyDescent="0.25">
      <c r="A23" s="80"/>
      <c r="B23" s="80"/>
      <c r="C23" s="80"/>
      <c r="D23" s="80"/>
      <c r="E23" s="80"/>
      <c r="F23" s="80"/>
      <c r="G23" s="82"/>
      <c r="H23" s="105">
        <f t="shared" si="0"/>
        <v>1</v>
      </c>
    </row>
    <row r="24" spans="1:8" x14ac:dyDescent="0.25">
      <c r="A24" s="80"/>
      <c r="B24" s="80"/>
      <c r="C24" s="80"/>
      <c r="D24" s="80"/>
      <c r="E24" s="80"/>
      <c r="F24" s="80"/>
      <c r="G24" s="82"/>
      <c r="H24" s="105">
        <f t="shared" si="0"/>
        <v>1</v>
      </c>
    </row>
    <row r="25" spans="1:8" x14ac:dyDescent="0.25">
      <c r="A25" s="80"/>
      <c r="B25" s="80"/>
      <c r="C25" s="80"/>
      <c r="D25" s="80"/>
      <c r="E25" s="80"/>
      <c r="F25" s="80"/>
      <c r="G25" s="82"/>
      <c r="H25" s="105">
        <f t="shared" si="0"/>
        <v>1</v>
      </c>
    </row>
    <row r="26" spans="1:8" x14ac:dyDescent="0.25">
      <c r="A26" s="80"/>
      <c r="B26" s="80"/>
      <c r="C26" s="80"/>
      <c r="D26" s="80"/>
      <c r="E26" s="80"/>
      <c r="F26" s="80"/>
      <c r="G26" s="82"/>
      <c r="H26" s="105">
        <f t="shared" si="0"/>
        <v>1</v>
      </c>
    </row>
    <row r="27" spans="1:8" x14ac:dyDescent="0.25">
      <c r="A27" s="80"/>
      <c r="B27" s="80"/>
      <c r="C27" s="80"/>
      <c r="D27" s="80"/>
      <c r="E27" s="80"/>
      <c r="F27" s="80"/>
      <c r="G27" s="82"/>
      <c r="H27" s="105">
        <f t="shared" si="0"/>
        <v>1</v>
      </c>
    </row>
    <row r="28" spans="1:8" x14ac:dyDescent="0.25">
      <c r="A28" s="80"/>
      <c r="B28" s="80"/>
      <c r="C28" s="80"/>
      <c r="D28" s="80"/>
      <c r="E28" s="80"/>
      <c r="F28" s="80"/>
      <c r="G28" s="82"/>
      <c r="H28" s="105">
        <f t="shared" si="0"/>
        <v>1</v>
      </c>
    </row>
    <row r="29" spans="1:8" x14ac:dyDescent="0.25">
      <c r="A29" s="80"/>
      <c r="B29" s="80"/>
      <c r="C29" s="80"/>
      <c r="D29" s="80"/>
      <c r="E29" s="80"/>
      <c r="F29" s="80"/>
      <c r="G29" s="82"/>
      <c r="H29" s="105">
        <f t="shared" si="0"/>
        <v>1</v>
      </c>
    </row>
    <row r="30" spans="1:8" x14ac:dyDescent="0.25">
      <c r="A30" s="80"/>
      <c r="B30" s="80"/>
      <c r="C30" s="80"/>
      <c r="D30" s="80"/>
      <c r="E30" s="80"/>
      <c r="F30" s="80"/>
      <c r="G30" s="82"/>
      <c r="H30" s="105">
        <f t="shared" si="0"/>
        <v>1</v>
      </c>
    </row>
    <row r="31" spans="1:8" x14ac:dyDescent="0.25">
      <c r="A31" s="80"/>
      <c r="B31" s="80"/>
      <c r="C31" s="80"/>
      <c r="D31" s="80"/>
      <c r="E31" s="80"/>
      <c r="F31" s="80"/>
      <c r="G31" s="82"/>
      <c r="H31" s="105">
        <f t="shared" si="0"/>
        <v>1</v>
      </c>
    </row>
    <row r="32" spans="1:8" x14ac:dyDescent="0.25">
      <c r="A32" s="80"/>
      <c r="B32" s="80"/>
      <c r="C32" s="80"/>
      <c r="D32" s="80"/>
      <c r="E32" s="80"/>
      <c r="F32" s="80"/>
      <c r="G32" s="82"/>
      <c r="H32" s="105">
        <f t="shared" si="0"/>
        <v>1</v>
      </c>
    </row>
    <row r="33" spans="1:8" x14ac:dyDescent="0.25">
      <c r="A33" s="80"/>
      <c r="B33" s="80"/>
      <c r="C33" s="80"/>
      <c r="D33" s="80"/>
      <c r="E33" s="80"/>
      <c r="F33" s="80"/>
      <c r="G33" s="82"/>
      <c r="H33" s="105">
        <f t="shared" si="0"/>
        <v>1</v>
      </c>
    </row>
    <row r="34" spans="1:8" x14ac:dyDescent="0.25">
      <c r="A34" s="80"/>
      <c r="B34" s="80"/>
      <c r="C34" s="80"/>
      <c r="D34" s="80"/>
      <c r="E34" s="80"/>
      <c r="F34" s="80"/>
      <c r="G34" s="82"/>
      <c r="H34" s="105">
        <f t="shared" si="0"/>
        <v>1</v>
      </c>
    </row>
    <row r="35" spans="1:8" x14ac:dyDescent="0.25">
      <c r="A35" s="80"/>
      <c r="B35" s="80"/>
      <c r="C35" s="80"/>
      <c r="D35" s="80"/>
      <c r="E35" s="80"/>
      <c r="F35" s="80"/>
      <c r="G35" s="82"/>
      <c r="H35" s="105">
        <f t="shared" si="0"/>
        <v>1</v>
      </c>
    </row>
    <row r="36" spans="1:8" x14ac:dyDescent="0.25">
      <c r="A36" s="80"/>
      <c r="B36" s="80"/>
      <c r="C36" s="80"/>
      <c r="D36" s="80"/>
      <c r="E36" s="80"/>
      <c r="F36" s="80"/>
      <c r="G36" s="82"/>
      <c r="H36" s="105">
        <f t="shared" si="0"/>
        <v>1</v>
      </c>
    </row>
    <row r="37" spans="1:8" x14ac:dyDescent="0.25">
      <c r="A37" s="80"/>
      <c r="B37" s="80"/>
      <c r="C37" s="80"/>
      <c r="D37" s="80"/>
      <c r="E37" s="80"/>
      <c r="F37" s="80"/>
      <c r="G37" s="82"/>
      <c r="H37" s="105">
        <f t="shared" si="0"/>
        <v>1</v>
      </c>
    </row>
    <row r="38" spans="1:8" x14ac:dyDescent="0.25">
      <c r="A38" s="80"/>
      <c r="B38" s="80"/>
      <c r="C38" s="80"/>
      <c r="D38" s="80"/>
      <c r="E38" s="80"/>
      <c r="F38" s="80"/>
      <c r="G38" s="82"/>
      <c r="H38" s="105">
        <f t="shared" si="0"/>
        <v>1</v>
      </c>
    </row>
    <row r="39" spans="1:8" x14ac:dyDescent="0.25">
      <c r="A39" s="80"/>
      <c r="B39" s="80"/>
      <c r="C39" s="80"/>
      <c r="D39" s="80"/>
      <c r="E39" s="80"/>
      <c r="F39" s="80"/>
      <c r="G39" s="82"/>
      <c r="H39" s="105">
        <f t="shared" si="0"/>
        <v>1</v>
      </c>
    </row>
    <row r="40" spans="1:8" x14ac:dyDescent="0.25">
      <c r="A40" s="80"/>
      <c r="B40" s="80"/>
      <c r="C40" s="80"/>
      <c r="D40" s="80"/>
      <c r="E40" s="80"/>
      <c r="F40" s="80"/>
      <c r="G40" s="82"/>
      <c r="H40" s="105">
        <f t="shared" si="0"/>
        <v>1</v>
      </c>
    </row>
    <row r="41" spans="1:8" x14ac:dyDescent="0.25">
      <c r="A41" s="80"/>
      <c r="B41" s="80"/>
      <c r="C41" s="80"/>
      <c r="D41" s="80"/>
      <c r="E41" s="80"/>
      <c r="F41" s="80"/>
      <c r="G41" s="82"/>
      <c r="H41" s="105">
        <f t="shared" si="0"/>
        <v>1</v>
      </c>
    </row>
    <row r="42" spans="1:8" x14ac:dyDescent="0.25">
      <c r="A42" s="80"/>
      <c r="B42" s="80"/>
      <c r="C42" s="80"/>
      <c r="D42" s="80"/>
      <c r="E42" s="80"/>
      <c r="F42" s="80"/>
      <c r="G42" s="82"/>
      <c r="H42" s="105">
        <f t="shared" si="0"/>
        <v>1</v>
      </c>
    </row>
    <row r="43" spans="1:8" x14ac:dyDescent="0.25">
      <c r="A43" s="80"/>
      <c r="B43" s="80"/>
      <c r="C43" s="80"/>
      <c r="D43" s="80"/>
      <c r="E43" s="80"/>
      <c r="F43" s="80"/>
      <c r="G43" s="82"/>
      <c r="H43" s="105">
        <f t="shared" si="0"/>
        <v>1</v>
      </c>
    </row>
    <row r="44" spans="1:8" x14ac:dyDescent="0.25">
      <c r="A44" s="80"/>
      <c r="B44" s="80"/>
      <c r="C44" s="80"/>
      <c r="D44" s="80"/>
      <c r="E44" s="80"/>
      <c r="F44" s="80"/>
      <c r="G44" s="82"/>
      <c r="H44" s="105">
        <f t="shared" si="0"/>
        <v>1</v>
      </c>
    </row>
    <row r="45" spans="1:8" x14ac:dyDescent="0.25">
      <c r="A45" s="80"/>
      <c r="B45" s="80"/>
      <c r="C45" s="80"/>
      <c r="D45" s="80"/>
      <c r="E45" s="80"/>
      <c r="F45" s="80"/>
      <c r="G45" s="82"/>
      <c r="H45" s="105">
        <f t="shared" si="0"/>
        <v>1</v>
      </c>
    </row>
    <row r="46" spans="1:8" x14ac:dyDescent="0.25">
      <c r="A46" s="80"/>
      <c r="B46" s="80"/>
      <c r="C46" s="80"/>
      <c r="D46" s="80"/>
      <c r="E46" s="80"/>
      <c r="F46" s="80"/>
      <c r="G46" s="82"/>
      <c r="H46" s="105">
        <f t="shared" si="0"/>
        <v>1</v>
      </c>
    </row>
    <row r="47" spans="1:8" x14ac:dyDescent="0.25">
      <c r="A47" s="80"/>
      <c r="B47" s="80"/>
      <c r="C47" s="80"/>
      <c r="D47" s="80"/>
      <c r="E47" s="80"/>
      <c r="F47" s="80"/>
      <c r="G47" s="82"/>
      <c r="H47" s="105">
        <f t="shared" si="0"/>
        <v>1</v>
      </c>
    </row>
    <row r="48" spans="1:8" x14ac:dyDescent="0.25">
      <c r="A48" s="80"/>
      <c r="B48" s="80"/>
      <c r="C48" s="80"/>
      <c r="D48" s="80"/>
      <c r="E48" s="80"/>
      <c r="F48" s="80"/>
      <c r="G48" s="82"/>
      <c r="H48" s="105">
        <f t="shared" si="0"/>
        <v>1</v>
      </c>
    </row>
    <row r="49" spans="1:8" x14ac:dyDescent="0.25">
      <c r="A49" s="80"/>
      <c r="B49" s="80"/>
      <c r="C49" s="80"/>
      <c r="D49" s="80"/>
      <c r="E49" s="80"/>
      <c r="F49" s="80"/>
      <c r="G49" s="82"/>
      <c r="H49" s="105">
        <f t="shared" si="0"/>
        <v>1</v>
      </c>
    </row>
    <row r="50" spans="1:8" x14ac:dyDescent="0.25">
      <c r="A50" s="80"/>
      <c r="B50" s="80"/>
      <c r="C50" s="80"/>
      <c r="D50" s="80"/>
      <c r="E50" s="80"/>
      <c r="F50" s="80"/>
      <c r="G50" s="82"/>
      <c r="H50" s="105">
        <f t="shared" si="0"/>
        <v>1</v>
      </c>
    </row>
    <row r="51" spans="1:8" x14ac:dyDescent="0.25">
      <c r="A51" s="80"/>
      <c r="B51" s="80"/>
      <c r="C51" s="80"/>
      <c r="D51" s="80"/>
      <c r="E51" s="80"/>
      <c r="F51" s="80"/>
      <c r="G51" s="82"/>
      <c r="H51" s="105">
        <f t="shared" si="0"/>
        <v>1</v>
      </c>
    </row>
    <row r="52" spans="1:8" x14ac:dyDescent="0.25">
      <c r="A52" s="80"/>
      <c r="B52" s="80"/>
      <c r="C52" s="80"/>
      <c r="D52" s="80"/>
      <c r="E52" s="80"/>
      <c r="F52" s="80"/>
      <c r="G52" s="82"/>
      <c r="H52" s="105">
        <f t="shared" si="0"/>
        <v>1</v>
      </c>
    </row>
    <row r="53" spans="1:8" x14ac:dyDescent="0.25">
      <c r="A53" s="80"/>
      <c r="B53" s="80"/>
      <c r="C53" s="80"/>
      <c r="D53" s="80"/>
      <c r="E53" s="80"/>
      <c r="F53" s="80"/>
      <c r="G53" s="82"/>
      <c r="H53" s="105">
        <f t="shared" si="0"/>
        <v>1</v>
      </c>
    </row>
    <row r="54" spans="1:8" x14ac:dyDescent="0.25">
      <c r="A54" s="80"/>
      <c r="B54" s="80"/>
      <c r="C54" s="80"/>
      <c r="D54" s="80"/>
      <c r="E54" s="80"/>
      <c r="F54" s="80"/>
      <c r="G54" s="82"/>
      <c r="H54" s="105">
        <f t="shared" si="0"/>
        <v>1</v>
      </c>
    </row>
    <row r="55" spans="1:8" x14ac:dyDescent="0.25">
      <c r="A55" s="80"/>
      <c r="B55" s="80"/>
      <c r="C55" s="80"/>
      <c r="D55" s="80"/>
      <c r="E55" s="80"/>
      <c r="F55" s="80"/>
      <c r="G55" s="82"/>
      <c r="H55" s="105">
        <f t="shared" si="0"/>
        <v>1</v>
      </c>
    </row>
    <row r="56" spans="1:8" x14ac:dyDescent="0.25">
      <c r="A56" s="80"/>
      <c r="B56" s="80"/>
      <c r="C56" s="80"/>
      <c r="D56" s="80"/>
      <c r="E56" s="80"/>
      <c r="F56" s="80"/>
      <c r="G56" s="82"/>
      <c r="H56" s="105">
        <f t="shared" si="0"/>
        <v>1</v>
      </c>
    </row>
    <row r="57" spans="1:8" x14ac:dyDescent="0.25">
      <c r="A57" s="80"/>
      <c r="B57" s="80"/>
      <c r="C57" s="80"/>
      <c r="D57" s="80"/>
      <c r="E57" s="80"/>
      <c r="F57" s="80"/>
      <c r="G57" s="82"/>
      <c r="H57" s="105">
        <f t="shared" si="0"/>
        <v>1</v>
      </c>
    </row>
    <row r="58" spans="1:8" x14ac:dyDescent="0.25">
      <c r="A58" s="80"/>
      <c r="B58" s="80"/>
      <c r="C58" s="80"/>
      <c r="D58" s="80"/>
      <c r="E58" s="80"/>
      <c r="F58" s="80"/>
      <c r="G58" s="82"/>
      <c r="H58" s="105">
        <f t="shared" si="0"/>
        <v>1</v>
      </c>
    </row>
    <row r="59" spans="1:8" x14ac:dyDescent="0.25">
      <c r="A59" s="80"/>
      <c r="B59" s="80"/>
      <c r="C59" s="80"/>
      <c r="D59" s="80"/>
      <c r="E59" s="80"/>
      <c r="F59" s="80"/>
      <c r="G59" s="82"/>
      <c r="H59" s="105">
        <f t="shared" si="0"/>
        <v>1</v>
      </c>
    </row>
    <row r="60" spans="1:8" x14ac:dyDescent="0.25">
      <c r="A60" s="80"/>
      <c r="B60" s="80"/>
      <c r="C60" s="80"/>
      <c r="D60" s="80"/>
      <c r="E60" s="80"/>
      <c r="F60" s="80"/>
      <c r="G60" s="82"/>
      <c r="H60" s="105">
        <f t="shared" si="0"/>
        <v>1</v>
      </c>
    </row>
    <row r="61" spans="1:8" x14ac:dyDescent="0.25">
      <c r="A61" s="80"/>
      <c r="B61" s="80"/>
      <c r="C61" s="80"/>
      <c r="D61" s="80"/>
      <c r="E61" s="80"/>
      <c r="F61" s="80"/>
      <c r="G61" s="82"/>
      <c r="H61" s="105">
        <f t="shared" si="0"/>
        <v>1</v>
      </c>
    </row>
    <row r="62" spans="1:8" x14ac:dyDescent="0.25">
      <c r="A62" s="80"/>
      <c r="B62" s="80"/>
      <c r="C62" s="80"/>
      <c r="D62" s="80"/>
      <c r="E62" s="80"/>
      <c r="F62" s="80"/>
      <c r="G62" s="82"/>
      <c r="H62" s="105">
        <f t="shared" si="0"/>
        <v>1</v>
      </c>
    </row>
    <row r="63" spans="1:8" x14ac:dyDescent="0.25">
      <c r="A63" s="80"/>
      <c r="B63" s="80"/>
      <c r="C63" s="80"/>
      <c r="D63" s="80"/>
      <c r="E63" s="80"/>
      <c r="F63" s="80"/>
      <c r="G63" s="82"/>
      <c r="H63" s="105">
        <f t="shared" si="0"/>
        <v>1</v>
      </c>
    </row>
    <row r="64" spans="1:8" x14ac:dyDescent="0.25">
      <c r="A64" s="80"/>
      <c r="B64" s="80"/>
      <c r="C64" s="80"/>
      <c r="D64" s="80"/>
      <c r="E64" s="80"/>
      <c r="F64" s="80"/>
      <c r="G64" s="82"/>
      <c r="H64" s="105">
        <f t="shared" si="0"/>
        <v>1</v>
      </c>
    </row>
    <row r="65" spans="1:8" x14ac:dyDescent="0.25">
      <c r="A65" s="80"/>
      <c r="B65" s="80"/>
      <c r="C65" s="80"/>
      <c r="D65" s="80"/>
      <c r="E65" s="80"/>
      <c r="F65" s="80"/>
      <c r="G65" s="82"/>
      <c r="H65" s="105">
        <f t="shared" si="0"/>
        <v>1</v>
      </c>
    </row>
    <row r="66" spans="1:8" x14ac:dyDescent="0.25">
      <c r="A66" s="80"/>
      <c r="B66" s="80"/>
      <c r="C66" s="80"/>
      <c r="D66" s="80"/>
      <c r="E66" s="80"/>
      <c r="F66" s="80"/>
      <c r="G66" s="82"/>
      <c r="H66" s="105">
        <f t="shared" si="0"/>
        <v>1</v>
      </c>
    </row>
    <row r="67" spans="1:8" x14ac:dyDescent="0.25">
      <c r="A67" s="80"/>
      <c r="B67" s="80"/>
      <c r="C67" s="80"/>
      <c r="D67" s="80"/>
      <c r="E67" s="80"/>
      <c r="F67" s="80"/>
      <c r="G67" s="82"/>
      <c r="H67" s="105">
        <f t="shared" ref="H67:H130" si="1">MONTH(A67)</f>
        <v>1</v>
      </c>
    </row>
    <row r="68" spans="1:8" x14ac:dyDescent="0.25">
      <c r="A68" s="80"/>
      <c r="B68" s="80"/>
      <c r="C68" s="80"/>
      <c r="D68" s="80"/>
      <c r="E68" s="80"/>
      <c r="F68" s="80"/>
      <c r="G68" s="82"/>
      <c r="H68" s="105">
        <f t="shared" si="1"/>
        <v>1</v>
      </c>
    </row>
    <row r="69" spans="1:8" x14ac:dyDescent="0.25">
      <c r="A69" s="80"/>
      <c r="B69" s="80"/>
      <c r="C69" s="80"/>
      <c r="D69" s="80"/>
      <c r="E69" s="80"/>
      <c r="F69" s="80"/>
      <c r="G69" s="82"/>
      <c r="H69" s="105">
        <f t="shared" si="1"/>
        <v>1</v>
      </c>
    </row>
    <row r="70" spans="1:8" x14ac:dyDescent="0.25">
      <c r="A70" s="80"/>
      <c r="B70" s="80"/>
      <c r="C70" s="80"/>
      <c r="D70" s="80"/>
      <c r="E70" s="80"/>
      <c r="F70" s="80"/>
      <c r="G70" s="82"/>
      <c r="H70" s="105">
        <f t="shared" si="1"/>
        <v>1</v>
      </c>
    </row>
    <row r="71" spans="1:8" x14ac:dyDescent="0.25">
      <c r="A71" s="80"/>
      <c r="B71" s="80"/>
      <c r="C71" s="80"/>
      <c r="D71" s="80"/>
      <c r="E71" s="80"/>
      <c r="F71" s="80"/>
      <c r="G71" s="82"/>
      <c r="H71" s="105">
        <f t="shared" si="1"/>
        <v>1</v>
      </c>
    </row>
    <row r="72" spans="1:8" x14ac:dyDescent="0.25">
      <c r="A72" s="80"/>
      <c r="B72" s="80"/>
      <c r="C72" s="80"/>
      <c r="D72" s="80"/>
      <c r="E72" s="80"/>
      <c r="F72" s="80"/>
      <c r="G72" s="82"/>
      <c r="H72" s="105">
        <f t="shared" si="1"/>
        <v>1</v>
      </c>
    </row>
    <row r="73" spans="1:8" x14ac:dyDescent="0.25">
      <c r="A73" s="80"/>
      <c r="B73" s="80"/>
      <c r="C73" s="80"/>
      <c r="D73" s="80"/>
      <c r="E73" s="80"/>
      <c r="F73" s="80"/>
      <c r="G73" s="82"/>
      <c r="H73" s="105">
        <f t="shared" si="1"/>
        <v>1</v>
      </c>
    </row>
    <row r="74" spans="1:8" x14ac:dyDescent="0.25">
      <c r="A74" s="80"/>
      <c r="B74" s="80"/>
      <c r="C74" s="80"/>
      <c r="D74" s="80"/>
      <c r="E74" s="80"/>
      <c r="F74" s="80"/>
      <c r="G74" s="82"/>
      <c r="H74" s="105">
        <f t="shared" si="1"/>
        <v>1</v>
      </c>
    </row>
    <row r="75" spans="1:8" x14ac:dyDescent="0.25">
      <c r="A75" s="80"/>
      <c r="B75" s="80"/>
      <c r="C75" s="80"/>
      <c r="D75" s="80"/>
      <c r="E75" s="80"/>
      <c r="F75" s="80"/>
      <c r="G75" s="82"/>
      <c r="H75" s="105">
        <f t="shared" si="1"/>
        <v>1</v>
      </c>
    </row>
    <row r="76" spans="1:8" x14ac:dyDescent="0.25">
      <c r="A76" s="80"/>
      <c r="B76" s="80"/>
      <c r="C76" s="80"/>
      <c r="D76" s="80"/>
      <c r="E76" s="80"/>
      <c r="F76" s="80"/>
      <c r="G76" s="82"/>
      <c r="H76" s="105">
        <f t="shared" si="1"/>
        <v>1</v>
      </c>
    </row>
    <row r="77" spans="1:8" x14ac:dyDescent="0.25">
      <c r="A77" s="80"/>
      <c r="B77" s="80"/>
      <c r="C77" s="80"/>
      <c r="D77" s="80"/>
      <c r="E77" s="80"/>
      <c r="F77" s="80"/>
      <c r="G77" s="82"/>
      <c r="H77" s="105">
        <f t="shared" si="1"/>
        <v>1</v>
      </c>
    </row>
    <row r="78" spans="1:8" x14ac:dyDescent="0.25">
      <c r="A78" s="80"/>
      <c r="B78" s="80"/>
      <c r="C78" s="80"/>
      <c r="D78" s="80"/>
      <c r="E78" s="80"/>
      <c r="F78" s="80"/>
      <c r="G78" s="82"/>
      <c r="H78" s="105">
        <f t="shared" si="1"/>
        <v>1</v>
      </c>
    </row>
    <row r="79" spans="1:8" x14ac:dyDescent="0.25">
      <c r="A79" s="80"/>
      <c r="B79" s="80"/>
      <c r="C79" s="80"/>
      <c r="D79" s="80"/>
      <c r="E79" s="80"/>
      <c r="F79" s="80"/>
      <c r="G79" s="82"/>
      <c r="H79" s="105">
        <f t="shared" si="1"/>
        <v>1</v>
      </c>
    </row>
    <row r="80" spans="1:8" x14ac:dyDescent="0.25">
      <c r="A80" s="80"/>
      <c r="B80" s="80"/>
      <c r="C80" s="80"/>
      <c r="D80" s="80"/>
      <c r="E80" s="80"/>
      <c r="F80" s="80"/>
      <c r="G80" s="82"/>
      <c r="H80" s="105">
        <f t="shared" si="1"/>
        <v>1</v>
      </c>
    </row>
    <row r="81" spans="1:8" x14ac:dyDescent="0.25">
      <c r="A81" s="80"/>
      <c r="B81" s="80"/>
      <c r="C81" s="80"/>
      <c r="D81" s="80"/>
      <c r="E81" s="80"/>
      <c r="F81" s="80"/>
      <c r="G81" s="82"/>
      <c r="H81" s="105">
        <f t="shared" si="1"/>
        <v>1</v>
      </c>
    </row>
    <row r="82" spans="1:8" x14ac:dyDescent="0.25">
      <c r="A82" s="80"/>
      <c r="B82" s="80"/>
      <c r="C82" s="80"/>
      <c r="D82" s="80"/>
      <c r="E82" s="80"/>
      <c r="F82" s="80"/>
      <c r="G82" s="82"/>
      <c r="H82" s="105">
        <f t="shared" si="1"/>
        <v>1</v>
      </c>
    </row>
    <row r="83" spans="1:8" x14ac:dyDescent="0.25">
      <c r="A83" s="80"/>
      <c r="B83" s="80"/>
      <c r="C83" s="80"/>
      <c r="D83" s="80"/>
      <c r="E83" s="80"/>
      <c r="F83" s="80"/>
      <c r="G83" s="82"/>
      <c r="H83" s="105">
        <f t="shared" si="1"/>
        <v>1</v>
      </c>
    </row>
    <row r="84" spans="1:8" x14ac:dyDescent="0.25">
      <c r="A84" s="80"/>
      <c r="B84" s="80"/>
      <c r="C84" s="80"/>
      <c r="D84" s="80"/>
      <c r="E84" s="80"/>
      <c r="F84" s="80"/>
      <c r="G84" s="82"/>
      <c r="H84" s="105">
        <f t="shared" si="1"/>
        <v>1</v>
      </c>
    </row>
    <row r="85" spans="1:8" x14ac:dyDescent="0.25">
      <c r="A85" s="80"/>
      <c r="B85" s="80"/>
      <c r="C85" s="80"/>
      <c r="D85" s="80"/>
      <c r="E85" s="80"/>
      <c r="F85" s="80"/>
      <c r="G85" s="82"/>
      <c r="H85" s="105">
        <f t="shared" si="1"/>
        <v>1</v>
      </c>
    </row>
    <row r="86" spans="1:8" x14ac:dyDescent="0.25">
      <c r="A86" s="80"/>
      <c r="B86" s="80"/>
      <c r="C86" s="80"/>
      <c r="D86" s="80"/>
      <c r="E86" s="80"/>
      <c r="F86" s="80"/>
      <c r="G86" s="82"/>
      <c r="H86" s="105">
        <f t="shared" si="1"/>
        <v>1</v>
      </c>
    </row>
    <row r="87" spans="1:8" x14ac:dyDescent="0.25">
      <c r="A87" s="80"/>
      <c r="B87" s="80"/>
      <c r="C87" s="80"/>
      <c r="D87" s="80"/>
      <c r="E87" s="80"/>
      <c r="F87" s="80"/>
      <c r="G87" s="82"/>
      <c r="H87" s="105">
        <f t="shared" si="1"/>
        <v>1</v>
      </c>
    </row>
    <row r="88" spans="1:8" x14ac:dyDescent="0.25">
      <c r="A88" s="80"/>
      <c r="B88" s="80"/>
      <c r="C88" s="80"/>
      <c r="D88" s="80"/>
      <c r="E88" s="80"/>
      <c r="F88" s="80"/>
      <c r="G88" s="82"/>
      <c r="H88" s="105">
        <f t="shared" si="1"/>
        <v>1</v>
      </c>
    </row>
    <row r="89" spans="1:8" x14ac:dyDescent="0.25">
      <c r="A89" s="80"/>
      <c r="B89" s="80"/>
      <c r="C89" s="80"/>
      <c r="D89" s="80"/>
      <c r="E89" s="80"/>
      <c r="F89" s="80"/>
      <c r="G89" s="82"/>
      <c r="H89" s="105">
        <f t="shared" si="1"/>
        <v>1</v>
      </c>
    </row>
    <row r="90" spans="1:8" x14ac:dyDescent="0.25">
      <c r="A90" s="80"/>
      <c r="B90" s="80"/>
      <c r="C90" s="80"/>
      <c r="D90" s="80"/>
      <c r="E90" s="80"/>
      <c r="F90" s="80"/>
      <c r="G90" s="82"/>
      <c r="H90" s="105">
        <f t="shared" si="1"/>
        <v>1</v>
      </c>
    </row>
    <row r="91" spans="1:8" x14ac:dyDescent="0.25">
      <c r="A91" s="80"/>
      <c r="B91" s="80"/>
      <c r="C91" s="80"/>
      <c r="D91" s="80"/>
      <c r="E91" s="80"/>
      <c r="F91" s="80"/>
      <c r="G91" s="82"/>
      <c r="H91" s="105">
        <f t="shared" si="1"/>
        <v>1</v>
      </c>
    </row>
    <row r="92" spans="1:8" x14ac:dyDescent="0.25">
      <c r="A92" s="80"/>
      <c r="B92" s="80"/>
      <c r="C92" s="80"/>
      <c r="D92" s="80"/>
      <c r="E92" s="80"/>
      <c r="F92" s="80"/>
      <c r="G92" s="82"/>
      <c r="H92" s="105">
        <f t="shared" si="1"/>
        <v>1</v>
      </c>
    </row>
    <row r="93" spans="1:8" x14ac:dyDescent="0.25">
      <c r="A93" s="80"/>
      <c r="B93" s="80"/>
      <c r="C93" s="80"/>
      <c r="D93" s="80"/>
      <c r="E93" s="80"/>
      <c r="F93" s="80"/>
      <c r="G93" s="82"/>
      <c r="H93" s="105">
        <f t="shared" si="1"/>
        <v>1</v>
      </c>
    </row>
    <row r="94" spans="1:8" x14ac:dyDescent="0.25">
      <c r="A94" s="80"/>
      <c r="B94" s="80"/>
      <c r="C94" s="80"/>
      <c r="D94" s="80"/>
      <c r="E94" s="80"/>
      <c r="F94" s="80"/>
      <c r="G94" s="82"/>
      <c r="H94" s="105">
        <f t="shared" si="1"/>
        <v>1</v>
      </c>
    </row>
    <row r="95" spans="1:8" x14ac:dyDescent="0.25">
      <c r="A95" s="80"/>
      <c r="B95" s="80"/>
      <c r="C95" s="80"/>
      <c r="D95" s="80"/>
      <c r="E95" s="80"/>
      <c r="F95" s="80"/>
      <c r="G95" s="82"/>
      <c r="H95" s="105">
        <f t="shared" si="1"/>
        <v>1</v>
      </c>
    </row>
    <row r="96" spans="1:8" x14ac:dyDescent="0.25">
      <c r="A96" s="80"/>
      <c r="B96" s="80"/>
      <c r="C96" s="80"/>
      <c r="D96" s="80"/>
      <c r="E96" s="80"/>
      <c r="F96" s="80"/>
      <c r="G96" s="82"/>
      <c r="H96" s="105">
        <f t="shared" si="1"/>
        <v>1</v>
      </c>
    </row>
    <row r="97" spans="1:8" x14ac:dyDescent="0.25">
      <c r="A97" s="80"/>
      <c r="B97" s="80"/>
      <c r="C97" s="80"/>
      <c r="D97" s="80"/>
      <c r="E97" s="80"/>
      <c r="F97" s="80"/>
      <c r="G97" s="82"/>
      <c r="H97" s="105">
        <f t="shared" si="1"/>
        <v>1</v>
      </c>
    </row>
    <row r="98" spans="1:8" x14ac:dyDescent="0.25">
      <c r="A98" s="80"/>
      <c r="B98" s="80"/>
      <c r="C98" s="80"/>
      <c r="D98" s="80"/>
      <c r="E98" s="80"/>
      <c r="F98" s="80"/>
      <c r="G98" s="82"/>
      <c r="H98" s="105">
        <f t="shared" si="1"/>
        <v>1</v>
      </c>
    </row>
    <row r="99" spans="1:8" x14ac:dyDescent="0.25">
      <c r="A99" s="80"/>
      <c r="B99" s="80"/>
      <c r="C99" s="80"/>
      <c r="D99" s="80"/>
      <c r="E99" s="80"/>
      <c r="F99" s="80"/>
      <c r="G99" s="82"/>
      <c r="H99" s="105">
        <f t="shared" si="1"/>
        <v>1</v>
      </c>
    </row>
    <row r="100" spans="1:8" x14ac:dyDescent="0.25">
      <c r="A100" s="80"/>
      <c r="B100" s="80"/>
      <c r="C100" s="80"/>
      <c r="D100" s="80"/>
      <c r="E100" s="80"/>
      <c r="F100" s="80"/>
      <c r="G100" s="82"/>
      <c r="H100" s="105">
        <f t="shared" si="1"/>
        <v>1</v>
      </c>
    </row>
    <row r="101" spans="1:8" x14ac:dyDescent="0.25">
      <c r="A101" s="80"/>
      <c r="B101" s="80"/>
      <c r="C101" s="80"/>
      <c r="D101" s="80"/>
      <c r="E101" s="80"/>
      <c r="F101" s="80"/>
      <c r="G101" s="82"/>
      <c r="H101" s="105">
        <f t="shared" si="1"/>
        <v>1</v>
      </c>
    </row>
    <row r="102" spans="1:8" x14ac:dyDescent="0.25">
      <c r="A102" s="80"/>
      <c r="B102" s="80"/>
      <c r="C102" s="80"/>
      <c r="D102" s="80"/>
      <c r="E102" s="80"/>
      <c r="F102" s="80"/>
      <c r="G102" s="82"/>
      <c r="H102" s="105">
        <f t="shared" si="1"/>
        <v>1</v>
      </c>
    </row>
    <row r="103" spans="1:8" x14ac:dyDescent="0.25">
      <c r="A103" s="80"/>
      <c r="B103" s="80"/>
      <c r="C103" s="80"/>
      <c r="D103" s="80"/>
      <c r="E103" s="80"/>
      <c r="F103" s="80"/>
      <c r="G103" s="82"/>
      <c r="H103" s="105">
        <f t="shared" si="1"/>
        <v>1</v>
      </c>
    </row>
    <row r="104" spans="1:8" x14ac:dyDescent="0.25">
      <c r="A104" s="80"/>
      <c r="B104" s="80"/>
      <c r="C104" s="80"/>
      <c r="D104" s="80"/>
      <c r="E104" s="80"/>
      <c r="F104" s="80"/>
      <c r="G104" s="82"/>
      <c r="H104" s="105">
        <f t="shared" si="1"/>
        <v>1</v>
      </c>
    </row>
    <row r="105" spans="1:8" x14ac:dyDescent="0.25">
      <c r="A105" s="80"/>
      <c r="B105" s="80"/>
      <c r="C105" s="80"/>
      <c r="D105" s="80"/>
      <c r="E105" s="80"/>
      <c r="F105" s="80"/>
      <c r="G105" s="82"/>
      <c r="H105" s="105">
        <f t="shared" si="1"/>
        <v>1</v>
      </c>
    </row>
    <row r="106" spans="1:8" x14ac:dyDescent="0.25">
      <c r="A106" s="80"/>
      <c r="B106" s="80"/>
      <c r="C106" s="80"/>
      <c r="D106" s="80"/>
      <c r="E106" s="80"/>
      <c r="F106" s="80"/>
      <c r="G106" s="82"/>
      <c r="H106" s="105">
        <f t="shared" si="1"/>
        <v>1</v>
      </c>
    </row>
    <row r="107" spans="1:8" x14ac:dyDescent="0.25">
      <c r="A107" s="80"/>
      <c r="B107" s="80"/>
      <c r="C107" s="80"/>
      <c r="D107" s="80"/>
      <c r="E107" s="80"/>
      <c r="F107" s="80"/>
      <c r="G107" s="82"/>
      <c r="H107" s="105">
        <f t="shared" si="1"/>
        <v>1</v>
      </c>
    </row>
    <row r="108" spans="1:8" x14ac:dyDescent="0.25">
      <c r="A108" s="80"/>
      <c r="B108" s="80"/>
      <c r="C108" s="80"/>
      <c r="D108" s="80"/>
      <c r="E108" s="80"/>
      <c r="F108" s="80"/>
      <c r="G108" s="82"/>
      <c r="H108" s="105">
        <f t="shared" si="1"/>
        <v>1</v>
      </c>
    </row>
    <row r="109" spans="1:8" x14ac:dyDescent="0.25">
      <c r="A109" s="80"/>
      <c r="B109" s="80"/>
      <c r="C109" s="80"/>
      <c r="D109" s="80"/>
      <c r="E109" s="80"/>
      <c r="F109" s="80"/>
      <c r="G109" s="82"/>
      <c r="H109" s="105">
        <f t="shared" si="1"/>
        <v>1</v>
      </c>
    </row>
    <row r="110" spans="1:8" x14ac:dyDescent="0.25">
      <c r="A110" s="80"/>
      <c r="B110" s="80"/>
      <c r="C110" s="80"/>
      <c r="D110" s="80"/>
      <c r="E110" s="80"/>
      <c r="F110" s="80"/>
      <c r="G110" s="82"/>
      <c r="H110" s="105">
        <f t="shared" si="1"/>
        <v>1</v>
      </c>
    </row>
    <row r="111" spans="1:8" x14ac:dyDescent="0.25">
      <c r="A111" s="80"/>
      <c r="B111" s="80"/>
      <c r="C111" s="80"/>
      <c r="D111" s="80"/>
      <c r="E111" s="80"/>
      <c r="F111" s="80"/>
      <c r="G111" s="82"/>
      <c r="H111" s="105">
        <f t="shared" si="1"/>
        <v>1</v>
      </c>
    </row>
    <row r="112" spans="1:8" x14ac:dyDescent="0.25">
      <c r="A112" s="80"/>
      <c r="B112" s="80"/>
      <c r="C112" s="80"/>
      <c r="D112" s="80"/>
      <c r="E112" s="80"/>
      <c r="F112" s="80"/>
      <c r="G112" s="82"/>
      <c r="H112" s="105">
        <f t="shared" si="1"/>
        <v>1</v>
      </c>
    </row>
    <row r="113" spans="1:8" x14ac:dyDescent="0.25">
      <c r="A113" s="80"/>
      <c r="B113" s="80"/>
      <c r="C113" s="80"/>
      <c r="D113" s="80"/>
      <c r="E113" s="80"/>
      <c r="F113" s="80"/>
      <c r="G113" s="82"/>
      <c r="H113" s="105">
        <f t="shared" si="1"/>
        <v>1</v>
      </c>
    </row>
    <row r="114" spans="1:8" x14ac:dyDescent="0.25">
      <c r="A114" s="80"/>
      <c r="B114" s="80"/>
      <c r="C114" s="80"/>
      <c r="D114" s="80"/>
      <c r="E114" s="80"/>
      <c r="F114" s="80"/>
      <c r="G114" s="82"/>
      <c r="H114" s="105">
        <f t="shared" si="1"/>
        <v>1</v>
      </c>
    </row>
    <row r="115" spans="1:8" x14ac:dyDescent="0.25">
      <c r="A115" s="80"/>
      <c r="B115" s="80"/>
      <c r="C115" s="80"/>
      <c r="D115" s="80"/>
      <c r="E115" s="80"/>
      <c r="F115" s="80"/>
      <c r="G115" s="82"/>
      <c r="H115" s="105">
        <f t="shared" si="1"/>
        <v>1</v>
      </c>
    </row>
    <row r="116" spans="1:8" x14ac:dyDescent="0.25">
      <c r="A116" s="80"/>
      <c r="B116" s="80"/>
      <c r="C116" s="80"/>
      <c r="D116" s="80"/>
      <c r="E116" s="80"/>
      <c r="F116" s="80"/>
      <c r="G116" s="82"/>
      <c r="H116" s="105">
        <f t="shared" si="1"/>
        <v>1</v>
      </c>
    </row>
    <row r="117" spans="1:8" x14ac:dyDescent="0.25">
      <c r="A117" s="80"/>
      <c r="B117" s="80"/>
      <c r="C117" s="80"/>
      <c r="D117" s="80"/>
      <c r="E117" s="80"/>
      <c r="F117" s="80"/>
      <c r="G117" s="82"/>
      <c r="H117" s="105">
        <f t="shared" si="1"/>
        <v>1</v>
      </c>
    </row>
    <row r="118" spans="1:8" x14ac:dyDescent="0.25">
      <c r="A118" s="80"/>
      <c r="B118" s="80"/>
      <c r="C118" s="80"/>
      <c r="D118" s="80"/>
      <c r="E118" s="80"/>
      <c r="F118" s="80"/>
      <c r="G118" s="82"/>
      <c r="H118" s="105">
        <f t="shared" si="1"/>
        <v>1</v>
      </c>
    </row>
    <row r="119" spans="1:8" x14ac:dyDescent="0.25">
      <c r="A119" s="80"/>
      <c r="B119" s="80"/>
      <c r="C119" s="80"/>
      <c r="D119" s="80"/>
      <c r="E119" s="80"/>
      <c r="F119" s="80"/>
      <c r="G119" s="82"/>
      <c r="H119" s="105">
        <f t="shared" si="1"/>
        <v>1</v>
      </c>
    </row>
    <row r="120" spans="1:8" x14ac:dyDescent="0.25">
      <c r="A120" s="80"/>
      <c r="B120" s="80"/>
      <c r="C120" s="80"/>
      <c r="D120" s="80"/>
      <c r="E120" s="80"/>
      <c r="F120" s="80"/>
      <c r="G120" s="82"/>
      <c r="H120" s="105">
        <f t="shared" si="1"/>
        <v>1</v>
      </c>
    </row>
    <row r="121" spans="1:8" x14ac:dyDescent="0.25">
      <c r="A121" s="80"/>
      <c r="B121" s="80"/>
      <c r="C121" s="80"/>
      <c r="D121" s="80"/>
      <c r="E121" s="80"/>
      <c r="F121" s="80"/>
      <c r="G121" s="82"/>
      <c r="H121" s="105">
        <f t="shared" si="1"/>
        <v>1</v>
      </c>
    </row>
    <row r="122" spans="1:8" x14ac:dyDescent="0.25">
      <c r="A122" s="80"/>
      <c r="B122" s="80"/>
      <c r="C122" s="80"/>
      <c r="D122" s="80"/>
      <c r="E122" s="80"/>
      <c r="F122" s="80"/>
      <c r="G122" s="82"/>
      <c r="H122" s="105">
        <f t="shared" si="1"/>
        <v>1</v>
      </c>
    </row>
    <row r="123" spans="1:8" x14ac:dyDescent="0.25">
      <c r="A123" s="80"/>
      <c r="B123" s="80"/>
      <c r="C123" s="80"/>
      <c r="D123" s="80"/>
      <c r="E123" s="80"/>
      <c r="F123" s="80"/>
      <c r="G123" s="82"/>
      <c r="H123" s="105">
        <f t="shared" si="1"/>
        <v>1</v>
      </c>
    </row>
    <row r="124" spans="1:8" x14ac:dyDescent="0.25">
      <c r="A124" s="80"/>
      <c r="B124" s="80"/>
      <c r="C124" s="80"/>
      <c r="D124" s="80"/>
      <c r="E124" s="80"/>
      <c r="F124" s="80"/>
      <c r="G124" s="82"/>
      <c r="H124" s="105">
        <f t="shared" si="1"/>
        <v>1</v>
      </c>
    </row>
    <row r="125" spans="1:8" x14ac:dyDescent="0.25">
      <c r="A125" s="80"/>
      <c r="B125" s="80"/>
      <c r="C125" s="80"/>
      <c r="D125" s="80"/>
      <c r="E125" s="80"/>
      <c r="F125" s="80"/>
      <c r="G125" s="82"/>
      <c r="H125" s="105">
        <f t="shared" si="1"/>
        <v>1</v>
      </c>
    </row>
    <row r="126" spans="1:8" x14ac:dyDescent="0.25">
      <c r="A126" s="80"/>
      <c r="B126" s="80"/>
      <c r="C126" s="80"/>
      <c r="D126" s="80"/>
      <c r="E126" s="80"/>
      <c r="F126" s="80"/>
      <c r="G126" s="82"/>
      <c r="H126" s="105">
        <f t="shared" si="1"/>
        <v>1</v>
      </c>
    </row>
    <row r="127" spans="1:8" x14ac:dyDescent="0.25">
      <c r="A127" s="80"/>
      <c r="B127" s="80"/>
      <c r="C127" s="80"/>
      <c r="D127" s="80"/>
      <c r="E127" s="80"/>
      <c r="F127" s="80"/>
      <c r="G127" s="82"/>
      <c r="H127" s="105">
        <f t="shared" si="1"/>
        <v>1</v>
      </c>
    </row>
    <row r="128" spans="1:8" x14ac:dyDescent="0.25">
      <c r="A128" s="80"/>
      <c r="B128" s="80"/>
      <c r="C128" s="80"/>
      <c r="D128" s="80"/>
      <c r="E128" s="80"/>
      <c r="F128" s="80"/>
      <c r="G128" s="82"/>
      <c r="H128" s="105">
        <f t="shared" si="1"/>
        <v>1</v>
      </c>
    </row>
    <row r="129" spans="1:8" x14ac:dyDescent="0.25">
      <c r="A129" s="80"/>
      <c r="B129" s="80"/>
      <c r="C129" s="80"/>
      <c r="D129" s="80"/>
      <c r="E129" s="80"/>
      <c r="F129" s="80"/>
      <c r="G129" s="82"/>
      <c r="H129" s="105">
        <f t="shared" si="1"/>
        <v>1</v>
      </c>
    </row>
    <row r="130" spans="1:8" x14ac:dyDescent="0.25">
      <c r="A130" s="80"/>
      <c r="B130" s="80"/>
      <c r="C130" s="80"/>
      <c r="D130" s="80"/>
      <c r="E130" s="80"/>
      <c r="F130" s="80"/>
      <c r="G130" s="82"/>
      <c r="H130" s="105">
        <f t="shared" si="1"/>
        <v>1</v>
      </c>
    </row>
    <row r="131" spans="1:8" x14ac:dyDescent="0.25">
      <c r="A131" s="80"/>
      <c r="B131" s="80"/>
      <c r="C131" s="80"/>
      <c r="D131" s="80"/>
      <c r="E131" s="80"/>
      <c r="F131" s="80"/>
      <c r="G131" s="82"/>
      <c r="H131" s="105">
        <f t="shared" ref="H131:H194" si="2">MONTH(A131)</f>
        <v>1</v>
      </c>
    </row>
    <row r="132" spans="1:8" x14ac:dyDescent="0.25">
      <c r="A132" s="80"/>
      <c r="B132" s="80"/>
      <c r="C132" s="80"/>
      <c r="D132" s="80"/>
      <c r="E132" s="80"/>
      <c r="F132" s="80"/>
      <c r="G132" s="82"/>
      <c r="H132" s="105">
        <f t="shared" si="2"/>
        <v>1</v>
      </c>
    </row>
    <row r="133" spans="1:8" x14ac:dyDescent="0.25">
      <c r="A133" s="80"/>
      <c r="B133" s="80"/>
      <c r="C133" s="80"/>
      <c r="D133" s="80"/>
      <c r="E133" s="80"/>
      <c r="F133" s="80"/>
      <c r="G133" s="82"/>
      <c r="H133" s="105">
        <f t="shared" si="2"/>
        <v>1</v>
      </c>
    </row>
    <row r="134" spans="1:8" x14ac:dyDescent="0.25">
      <c r="A134" s="80"/>
      <c r="B134" s="80"/>
      <c r="C134" s="80"/>
      <c r="D134" s="80"/>
      <c r="E134" s="80"/>
      <c r="F134" s="80"/>
      <c r="G134" s="82"/>
      <c r="H134" s="105">
        <f t="shared" si="2"/>
        <v>1</v>
      </c>
    </row>
    <row r="135" spans="1:8" x14ac:dyDescent="0.25">
      <c r="A135" s="80"/>
      <c r="B135" s="80"/>
      <c r="C135" s="80"/>
      <c r="D135" s="80"/>
      <c r="E135" s="80"/>
      <c r="F135" s="80"/>
      <c r="G135" s="82"/>
      <c r="H135" s="105">
        <f t="shared" si="2"/>
        <v>1</v>
      </c>
    </row>
    <row r="136" spans="1:8" x14ac:dyDescent="0.25">
      <c r="A136" s="80"/>
      <c r="B136" s="80"/>
      <c r="C136" s="80"/>
      <c r="D136" s="80"/>
      <c r="E136" s="80"/>
      <c r="F136" s="80"/>
      <c r="G136" s="82"/>
      <c r="H136" s="105">
        <f t="shared" si="2"/>
        <v>1</v>
      </c>
    </row>
    <row r="137" spans="1:8" x14ac:dyDescent="0.25">
      <c r="A137" s="80"/>
      <c r="B137" s="80"/>
      <c r="C137" s="80"/>
      <c r="D137" s="80"/>
      <c r="E137" s="80"/>
      <c r="F137" s="80"/>
      <c r="G137" s="82"/>
      <c r="H137" s="105">
        <f t="shared" si="2"/>
        <v>1</v>
      </c>
    </row>
    <row r="138" spans="1:8" x14ac:dyDescent="0.25">
      <c r="A138" s="80"/>
      <c r="B138" s="80"/>
      <c r="C138" s="80"/>
      <c r="D138" s="80"/>
      <c r="E138" s="80"/>
      <c r="F138" s="80"/>
      <c r="G138" s="82"/>
      <c r="H138" s="105">
        <f t="shared" si="2"/>
        <v>1</v>
      </c>
    </row>
    <row r="139" spans="1:8" x14ac:dyDescent="0.25">
      <c r="A139" s="80"/>
      <c r="B139" s="80"/>
      <c r="C139" s="80"/>
      <c r="D139" s="80"/>
      <c r="E139" s="80"/>
      <c r="F139" s="80"/>
      <c r="G139" s="82"/>
      <c r="H139" s="105">
        <f t="shared" si="2"/>
        <v>1</v>
      </c>
    </row>
    <row r="140" spans="1:8" x14ac:dyDescent="0.25">
      <c r="A140" s="80"/>
      <c r="B140" s="80"/>
      <c r="C140" s="80"/>
      <c r="D140" s="80"/>
      <c r="E140" s="80"/>
      <c r="F140" s="80"/>
      <c r="G140" s="82"/>
      <c r="H140" s="105">
        <f t="shared" si="2"/>
        <v>1</v>
      </c>
    </row>
    <row r="141" spans="1:8" x14ac:dyDescent="0.25">
      <c r="A141" s="80"/>
      <c r="B141" s="80"/>
      <c r="C141" s="80"/>
      <c r="D141" s="80"/>
      <c r="E141" s="80"/>
      <c r="F141" s="80"/>
      <c r="G141" s="82"/>
      <c r="H141" s="105">
        <f t="shared" si="2"/>
        <v>1</v>
      </c>
    </row>
    <row r="142" spans="1:8" x14ac:dyDescent="0.25">
      <c r="A142" s="80"/>
      <c r="B142" s="80"/>
      <c r="C142" s="80"/>
      <c r="D142" s="80"/>
      <c r="E142" s="80"/>
      <c r="F142" s="80"/>
      <c r="G142" s="82"/>
      <c r="H142" s="105">
        <f t="shared" si="2"/>
        <v>1</v>
      </c>
    </row>
    <row r="143" spans="1:8" x14ac:dyDescent="0.25">
      <c r="A143" s="80"/>
      <c r="B143" s="80"/>
      <c r="C143" s="80"/>
      <c r="D143" s="80"/>
      <c r="E143" s="80"/>
      <c r="F143" s="80"/>
      <c r="G143" s="82"/>
      <c r="H143" s="105">
        <f t="shared" si="2"/>
        <v>1</v>
      </c>
    </row>
    <row r="144" spans="1:8" x14ac:dyDescent="0.25">
      <c r="A144" s="80"/>
      <c r="B144" s="80"/>
      <c r="C144" s="80"/>
      <c r="D144" s="80"/>
      <c r="E144" s="80"/>
      <c r="F144" s="80"/>
      <c r="G144" s="82"/>
      <c r="H144" s="105">
        <f t="shared" si="2"/>
        <v>1</v>
      </c>
    </row>
    <row r="145" spans="1:8" x14ac:dyDescent="0.25">
      <c r="A145" s="80"/>
      <c r="B145" s="80"/>
      <c r="C145" s="80"/>
      <c r="D145" s="80"/>
      <c r="E145" s="80"/>
      <c r="F145" s="80"/>
      <c r="G145" s="82"/>
      <c r="H145" s="105">
        <f t="shared" si="2"/>
        <v>1</v>
      </c>
    </row>
    <row r="146" spans="1:8" x14ac:dyDescent="0.25">
      <c r="A146" s="80"/>
      <c r="B146" s="80"/>
      <c r="C146" s="80"/>
      <c r="D146" s="80"/>
      <c r="E146" s="80"/>
      <c r="F146" s="80"/>
      <c r="G146" s="82"/>
      <c r="H146" s="105">
        <f t="shared" si="2"/>
        <v>1</v>
      </c>
    </row>
    <row r="147" spans="1:8" x14ac:dyDescent="0.25">
      <c r="A147" s="80"/>
      <c r="B147" s="80"/>
      <c r="C147" s="80"/>
      <c r="D147" s="80"/>
      <c r="E147" s="80"/>
      <c r="F147" s="80"/>
      <c r="G147" s="82"/>
      <c r="H147" s="105">
        <f t="shared" si="2"/>
        <v>1</v>
      </c>
    </row>
    <row r="148" spans="1:8" x14ac:dyDescent="0.25">
      <c r="A148" s="80"/>
      <c r="B148" s="80"/>
      <c r="C148" s="80"/>
      <c r="D148" s="80"/>
      <c r="E148" s="80"/>
      <c r="F148" s="80"/>
      <c r="G148" s="82"/>
      <c r="H148" s="105">
        <f t="shared" si="2"/>
        <v>1</v>
      </c>
    </row>
    <row r="149" spans="1:8" x14ac:dyDescent="0.25">
      <c r="A149" s="80"/>
      <c r="B149" s="80"/>
      <c r="C149" s="80"/>
      <c r="D149" s="80"/>
      <c r="E149" s="80"/>
      <c r="F149" s="80"/>
      <c r="G149" s="82"/>
      <c r="H149" s="105">
        <f t="shared" si="2"/>
        <v>1</v>
      </c>
    </row>
    <row r="150" spans="1:8" x14ac:dyDescent="0.25">
      <c r="A150" s="80"/>
      <c r="B150" s="80"/>
      <c r="C150" s="80"/>
      <c r="D150" s="80"/>
      <c r="E150" s="80"/>
      <c r="F150" s="80"/>
      <c r="G150" s="82"/>
      <c r="H150" s="105">
        <f t="shared" si="2"/>
        <v>1</v>
      </c>
    </row>
    <row r="151" spans="1:8" x14ac:dyDescent="0.25">
      <c r="A151" s="80"/>
      <c r="B151" s="80"/>
      <c r="C151" s="80"/>
      <c r="D151" s="80"/>
      <c r="E151" s="80"/>
      <c r="F151" s="80"/>
      <c r="G151" s="82"/>
      <c r="H151" s="105">
        <f t="shared" si="2"/>
        <v>1</v>
      </c>
    </row>
    <row r="152" spans="1:8" x14ac:dyDescent="0.25">
      <c r="A152" s="80"/>
      <c r="B152" s="80"/>
      <c r="C152" s="80"/>
      <c r="D152" s="80"/>
      <c r="E152" s="80"/>
      <c r="F152" s="80"/>
      <c r="G152" s="82"/>
      <c r="H152" s="105">
        <f t="shared" si="2"/>
        <v>1</v>
      </c>
    </row>
    <row r="153" spans="1:8" x14ac:dyDescent="0.25">
      <c r="A153" s="80"/>
      <c r="B153" s="80"/>
      <c r="C153" s="80"/>
      <c r="D153" s="80"/>
      <c r="E153" s="80"/>
      <c r="F153" s="80"/>
      <c r="G153" s="82"/>
      <c r="H153" s="105">
        <f t="shared" si="2"/>
        <v>1</v>
      </c>
    </row>
    <row r="154" spans="1:8" x14ac:dyDescent="0.25">
      <c r="A154" s="80"/>
      <c r="B154" s="80"/>
      <c r="C154" s="80"/>
      <c r="D154" s="80"/>
      <c r="E154" s="80"/>
      <c r="F154" s="80"/>
      <c r="G154" s="82"/>
      <c r="H154" s="105">
        <f t="shared" si="2"/>
        <v>1</v>
      </c>
    </row>
    <row r="155" spans="1:8" x14ac:dyDescent="0.25">
      <c r="A155" s="80"/>
      <c r="B155" s="80"/>
      <c r="C155" s="80"/>
      <c r="D155" s="80"/>
      <c r="E155" s="80"/>
      <c r="F155" s="80"/>
      <c r="G155" s="82"/>
      <c r="H155" s="105">
        <f t="shared" si="2"/>
        <v>1</v>
      </c>
    </row>
    <row r="156" spans="1:8" x14ac:dyDescent="0.25">
      <c r="A156" s="80"/>
      <c r="B156" s="80"/>
      <c r="C156" s="80"/>
      <c r="D156" s="80"/>
      <c r="E156" s="80"/>
      <c r="F156" s="80"/>
      <c r="G156" s="82"/>
      <c r="H156" s="105">
        <f t="shared" si="2"/>
        <v>1</v>
      </c>
    </row>
    <row r="157" spans="1:8" x14ac:dyDescent="0.25">
      <c r="A157" s="80"/>
      <c r="B157" s="80"/>
      <c r="C157" s="80"/>
      <c r="D157" s="80"/>
      <c r="E157" s="80"/>
      <c r="F157" s="80"/>
      <c r="G157" s="82"/>
      <c r="H157" s="105">
        <f t="shared" si="2"/>
        <v>1</v>
      </c>
    </row>
    <row r="158" spans="1:8" x14ac:dyDescent="0.25">
      <c r="A158" s="80"/>
      <c r="B158" s="80"/>
      <c r="C158" s="80"/>
      <c r="D158" s="80"/>
      <c r="E158" s="80"/>
      <c r="F158" s="80"/>
      <c r="G158" s="82"/>
      <c r="H158" s="105">
        <f t="shared" si="2"/>
        <v>1</v>
      </c>
    </row>
    <row r="159" spans="1:8" x14ac:dyDescent="0.25">
      <c r="A159" s="80"/>
      <c r="B159" s="80"/>
      <c r="C159" s="80"/>
      <c r="D159" s="80"/>
      <c r="E159" s="80"/>
      <c r="F159" s="80"/>
      <c r="G159" s="82"/>
      <c r="H159" s="105">
        <f t="shared" si="2"/>
        <v>1</v>
      </c>
    </row>
    <row r="160" spans="1:8" x14ac:dyDescent="0.25">
      <c r="A160" s="80"/>
      <c r="B160" s="80"/>
      <c r="C160" s="80"/>
      <c r="D160" s="80"/>
      <c r="E160" s="80"/>
      <c r="F160" s="80"/>
      <c r="G160" s="82"/>
      <c r="H160" s="105">
        <f t="shared" si="2"/>
        <v>1</v>
      </c>
    </row>
    <row r="161" spans="1:8" x14ac:dyDescent="0.25">
      <c r="A161" s="80"/>
      <c r="B161" s="80"/>
      <c r="C161" s="80"/>
      <c r="D161" s="80"/>
      <c r="E161" s="80"/>
      <c r="F161" s="80"/>
      <c r="G161" s="82"/>
      <c r="H161" s="105">
        <f t="shared" si="2"/>
        <v>1</v>
      </c>
    </row>
    <row r="162" spans="1:8" x14ac:dyDescent="0.25">
      <c r="A162" s="80"/>
      <c r="B162" s="80"/>
      <c r="C162" s="80"/>
      <c r="D162" s="80"/>
      <c r="E162" s="80"/>
      <c r="F162" s="80"/>
      <c r="G162" s="82"/>
      <c r="H162" s="105">
        <f t="shared" si="2"/>
        <v>1</v>
      </c>
    </row>
    <row r="163" spans="1:8" x14ac:dyDescent="0.25">
      <c r="A163" s="80"/>
      <c r="B163" s="80"/>
      <c r="C163" s="80"/>
      <c r="D163" s="80"/>
      <c r="E163" s="80"/>
      <c r="F163" s="80"/>
      <c r="G163" s="82"/>
      <c r="H163" s="105">
        <f t="shared" si="2"/>
        <v>1</v>
      </c>
    </row>
    <row r="164" spans="1:8" x14ac:dyDescent="0.25">
      <c r="A164" s="80"/>
      <c r="B164" s="80"/>
      <c r="C164" s="80"/>
      <c r="D164" s="80"/>
      <c r="E164" s="80"/>
      <c r="F164" s="80"/>
      <c r="G164" s="82"/>
      <c r="H164" s="105">
        <f t="shared" si="2"/>
        <v>1</v>
      </c>
    </row>
    <row r="165" spans="1:8" x14ac:dyDescent="0.25">
      <c r="A165" s="80"/>
      <c r="B165" s="80"/>
      <c r="C165" s="80"/>
      <c r="D165" s="80"/>
      <c r="E165" s="80"/>
      <c r="F165" s="80"/>
      <c r="G165" s="82"/>
      <c r="H165" s="105">
        <f t="shared" si="2"/>
        <v>1</v>
      </c>
    </row>
    <row r="166" spans="1:8" x14ac:dyDescent="0.25">
      <c r="A166" s="80"/>
      <c r="B166" s="80"/>
      <c r="C166" s="80"/>
      <c r="D166" s="80"/>
      <c r="E166" s="80"/>
      <c r="F166" s="80"/>
      <c r="G166" s="82"/>
      <c r="H166" s="105">
        <f t="shared" si="2"/>
        <v>1</v>
      </c>
    </row>
    <row r="167" spans="1:8" x14ac:dyDescent="0.25">
      <c r="A167" s="80"/>
      <c r="B167" s="80"/>
      <c r="C167" s="80"/>
      <c r="D167" s="80"/>
      <c r="E167" s="80"/>
      <c r="F167" s="80"/>
      <c r="G167" s="82"/>
      <c r="H167" s="105">
        <f t="shared" si="2"/>
        <v>1</v>
      </c>
    </row>
    <row r="168" spans="1:8" x14ac:dyDescent="0.25">
      <c r="A168" s="80"/>
      <c r="B168" s="80"/>
      <c r="C168" s="80"/>
      <c r="D168" s="80"/>
      <c r="E168" s="80"/>
      <c r="F168" s="80"/>
      <c r="G168" s="82"/>
      <c r="H168" s="105">
        <f t="shared" si="2"/>
        <v>1</v>
      </c>
    </row>
    <row r="169" spans="1:8" x14ac:dyDescent="0.25">
      <c r="A169" s="80"/>
      <c r="B169" s="80"/>
      <c r="C169" s="80"/>
      <c r="D169" s="80"/>
      <c r="E169" s="80"/>
      <c r="F169" s="80"/>
      <c r="G169" s="82"/>
      <c r="H169" s="105">
        <f t="shared" si="2"/>
        <v>1</v>
      </c>
    </row>
    <row r="170" spans="1:8" x14ac:dyDescent="0.25">
      <c r="A170" s="80"/>
      <c r="B170" s="80"/>
      <c r="C170" s="80"/>
      <c r="D170" s="80"/>
      <c r="E170" s="80"/>
      <c r="F170" s="80"/>
      <c r="G170" s="82"/>
      <c r="H170" s="105">
        <f t="shared" si="2"/>
        <v>1</v>
      </c>
    </row>
    <row r="171" spans="1:8" x14ac:dyDescent="0.25">
      <c r="A171" s="80"/>
      <c r="B171" s="80"/>
      <c r="C171" s="80"/>
      <c r="D171" s="80"/>
      <c r="E171" s="80"/>
      <c r="F171" s="80"/>
      <c r="G171" s="82"/>
      <c r="H171" s="105">
        <f t="shared" si="2"/>
        <v>1</v>
      </c>
    </row>
    <row r="172" spans="1:8" x14ac:dyDescent="0.25">
      <c r="A172" s="80"/>
      <c r="B172" s="80"/>
      <c r="C172" s="80"/>
      <c r="D172" s="80"/>
      <c r="E172" s="80"/>
      <c r="F172" s="80"/>
      <c r="G172" s="82"/>
      <c r="H172" s="105">
        <f t="shared" si="2"/>
        <v>1</v>
      </c>
    </row>
    <row r="173" spans="1:8" x14ac:dyDescent="0.25">
      <c r="A173" s="80"/>
      <c r="B173" s="80"/>
      <c r="C173" s="80"/>
      <c r="D173" s="80"/>
      <c r="E173" s="80"/>
      <c r="F173" s="80"/>
      <c r="G173" s="82"/>
      <c r="H173" s="105">
        <f t="shared" si="2"/>
        <v>1</v>
      </c>
    </row>
    <row r="174" spans="1:8" x14ac:dyDescent="0.25">
      <c r="A174" s="80"/>
      <c r="B174" s="80"/>
      <c r="C174" s="80"/>
      <c r="D174" s="80"/>
      <c r="E174" s="80"/>
      <c r="F174" s="80"/>
      <c r="G174" s="82"/>
      <c r="H174" s="105">
        <f t="shared" si="2"/>
        <v>1</v>
      </c>
    </row>
    <row r="175" spans="1:8" x14ac:dyDescent="0.25">
      <c r="A175" s="80"/>
      <c r="B175" s="80"/>
      <c r="C175" s="80"/>
      <c r="D175" s="80"/>
      <c r="E175" s="80"/>
      <c r="F175" s="80"/>
      <c r="G175" s="82"/>
      <c r="H175" s="105">
        <f t="shared" si="2"/>
        <v>1</v>
      </c>
    </row>
    <row r="176" spans="1:8" x14ac:dyDescent="0.25">
      <c r="A176" s="80"/>
      <c r="B176" s="80"/>
      <c r="C176" s="80"/>
      <c r="D176" s="80"/>
      <c r="E176" s="80"/>
      <c r="F176" s="80"/>
      <c r="G176" s="82"/>
      <c r="H176" s="105">
        <f t="shared" si="2"/>
        <v>1</v>
      </c>
    </row>
    <row r="177" spans="1:8" x14ac:dyDescent="0.25">
      <c r="A177" s="80"/>
      <c r="B177" s="80"/>
      <c r="C177" s="80"/>
      <c r="D177" s="80"/>
      <c r="E177" s="80"/>
      <c r="F177" s="80"/>
      <c r="G177" s="82"/>
      <c r="H177" s="105">
        <f t="shared" si="2"/>
        <v>1</v>
      </c>
    </row>
    <row r="178" spans="1:8" x14ac:dyDescent="0.25">
      <c r="A178" s="80"/>
      <c r="B178" s="80"/>
      <c r="C178" s="80"/>
      <c r="D178" s="80"/>
      <c r="E178" s="80"/>
      <c r="F178" s="80"/>
      <c r="G178" s="82"/>
      <c r="H178" s="105">
        <f t="shared" si="2"/>
        <v>1</v>
      </c>
    </row>
    <row r="179" spans="1:8" x14ac:dyDescent="0.25">
      <c r="A179" s="80"/>
      <c r="B179" s="80"/>
      <c r="C179" s="80"/>
      <c r="D179" s="80"/>
      <c r="E179" s="80"/>
      <c r="F179" s="80"/>
      <c r="G179" s="82"/>
      <c r="H179" s="105">
        <f t="shared" si="2"/>
        <v>1</v>
      </c>
    </row>
    <row r="180" spans="1:8" x14ac:dyDescent="0.25">
      <c r="A180" s="80"/>
      <c r="B180" s="80"/>
      <c r="C180" s="80"/>
      <c r="D180" s="80"/>
      <c r="E180" s="80"/>
      <c r="F180" s="80"/>
      <c r="G180" s="82"/>
      <c r="H180" s="105">
        <f t="shared" si="2"/>
        <v>1</v>
      </c>
    </row>
    <row r="181" spans="1:8" x14ac:dyDescent="0.25">
      <c r="A181" s="80"/>
      <c r="B181" s="80"/>
      <c r="C181" s="80"/>
      <c r="D181" s="80"/>
      <c r="E181" s="80"/>
      <c r="F181" s="80"/>
      <c r="G181" s="82"/>
      <c r="H181" s="105">
        <f t="shared" si="2"/>
        <v>1</v>
      </c>
    </row>
    <row r="182" spans="1:8" x14ac:dyDescent="0.25">
      <c r="A182" s="80"/>
      <c r="B182" s="80"/>
      <c r="C182" s="80"/>
      <c r="D182" s="80"/>
      <c r="E182" s="80"/>
      <c r="F182" s="80"/>
      <c r="G182" s="82"/>
      <c r="H182" s="105">
        <f t="shared" si="2"/>
        <v>1</v>
      </c>
    </row>
    <row r="183" spans="1:8" x14ac:dyDescent="0.25">
      <c r="A183" s="80"/>
      <c r="B183" s="80"/>
      <c r="C183" s="80"/>
      <c r="D183" s="80"/>
      <c r="E183" s="80"/>
      <c r="F183" s="80"/>
      <c r="G183" s="82"/>
      <c r="H183" s="105">
        <f t="shared" si="2"/>
        <v>1</v>
      </c>
    </row>
    <row r="184" spans="1:8" x14ac:dyDescent="0.25">
      <c r="A184" s="80"/>
      <c r="B184" s="80"/>
      <c r="C184" s="80"/>
      <c r="D184" s="80"/>
      <c r="E184" s="80"/>
      <c r="F184" s="80"/>
      <c r="G184" s="82"/>
      <c r="H184" s="105">
        <f t="shared" si="2"/>
        <v>1</v>
      </c>
    </row>
    <row r="185" spans="1:8" x14ac:dyDescent="0.25">
      <c r="A185" s="80"/>
      <c r="B185" s="80"/>
      <c r="C185" s="80"/>
      <c r="D185" s="80"/>
      <c r="E185" s="80"/>
      <c r="F185" s="80"/>
      <c r="G185" s="82"/>
      <c r="H185" s="105">
        <f t="shared" si="2"/>
        <v>1</v>
      </c>
    </row>
    <row r="186" spans="1:8" x14ac:dyDescent="0.25">
      <c r="A186" s="80"/>
      <c r="B186" s="80"/>
      <c r="C186" s="80"/>
      <c r="D186" s="80"/>
      <c r="E186" s="80"/>
      <c r="F186" s="80"/>
      <c r="G186" s="82"/>
      <c r="H186" s="105">
        <f t="shared" si="2"/>
        <v>1</v>
      </c>
    </row>
    <row r="187" spans="1:8" x14ac:dyDescent="0.25">
      <c r="A187" s="80"/>
      <c r="B187" s="80"/>
      <c r="C187" s="80"/>
      <c r="D187" s="80"/>
      <c r="E187" s="80"/>
      <c r="F187" s="80"/>
      <c r="G187" s="82"/>
      <c r="H187" s="105">
        <f t="shared" si="2"/>
        <v>1</v>
      </c>
    </row>
    <row r="188" spans="1:8" x14ac:dyDescent="0.25">
      <c r="A188" s="80"/>
      <c r="B188" s="80"/>
      <c r="C188" s="80"/>
      <c r="D188" s="80"/>
      <c r="E188" s="80"/>
      <c r="F188" s="80"/>
      <c r="G188" s="82"/>
      <c r="H188" s="105">
        <f t="shared" si="2"/>
        <v>1</v>
      </c>
    </row>
    <row r="189" spans="1:8" x14ac:dyDescent="0.25">
      <c r="A189" s="80"/>
      <c r="B189" s="80"/>
      <c r="C189" s="80"/>
      <c r="D189" s="80"/>
      <c r="E189" s="80"/>
      <c r="F189" s="80"/>
      <c r="G189" s="82"/>
      <c r="H189" s="105">
        <f t="shared" si="2"/>
        <v>1</v>
      </c>
    </row>
    <row r="190" spans="1:8" x14ac:dyDescent="0.25">
      <c r="A190" s="80"/>
      <c r="B190" s="80"/>
      <c r="C190" s="80"/>
      <c r="D190" s="80"/>
      <c r="E190" s="80"/>
      <c r="F190" s="80"/>
      <c r="G190" s="82"/>
      <c r="H190" s="105">
        <f t="shared" si="2"/>
        <v>1</v>
      </c>
    </row>
    <row r="191" spans="1:8" x14ac:dyDescent="0.25">
      <c r="A191" s="80"/>
      <c r="B191" s="80"/>
      <c r="C191" s="80"/>
      <c r="D191" s="80"/>
      <c r="E191" s="80"/>
      <c r="F191" s="80"/>
      <c r="G191" s="82"/>
      <c r="H191" s="105">
        <f t="shared" si="2"/>
        <v>1</v>
      </c>
    </row>
    <row r="192" spans="1:8" x14ac:dyDescent="0.25">
      <c r="A192" s="80"/>
      <c r="B192" s="80"/>
      <c r="C192" s="80"/>
      <c r="D192" s="80"/>
      <c r="E192" s="80"/>
      <c r="F192" s="80"/>
      <c r="G192" s="82"/>
      <c r="H192" s="105">
        <f t="shared" si="2"/>
        <v>1</v>
      </c>
    </row>
    <row r="193" spans="1:8" x14ac:dyDescent="0.25">
      <c r="A193" s="80"/>
      <c r="B193" s="80"/>
      <c r="C193" s="80"/>
      <c r="D193" s="80"/>
      <c r="E193" s="80"/>
      <c r="F193" s="80"/>
      <c r="G193" s="82"/>
      <c r="H193" s="105">
        <f t="shared" si="2"/>
        <v>1</v>
      </c>
    </row>
    <row r="194" spans="1:8" x14ac:dyDescent="0.25">
      <c r="A194" s="80"/>
      <c r="B194" s="80"/>
      <c r="C194" s="80"/>
      <c r="D194" s="80"/>
      <c r="E194" s="80"/>
      <c r="F194" s="80"/>
      <c r="G194" s="82"/>
      <c r="H194" s="105">
        <f t="shared" si="2"/>
        <v>1</v>
      </c>
    </row>
    <row r="195" spans="1:8" x14ac:dyDescent="0.25">
      <c r="A195" s="80"/>
      <c r="B195" s="80"/>
      <c r="C195" s="80"/>
      <c r="D195" s="80"/>
      <c r="E195" s="80"/>
      <c r="F195" s="80"/>
      <c r="G195" s="82"/>
      <c r="H195" s="105">
        <f t="shared" ref="H195:H258" si="3">MONTH(A195)</f>
        <v>1</v>
      </c>
    </row>
    <row r="196" spans="1:8" x14ac:dyDescent="0.25">
      <c r="A196" s="80"/>
      <c r="B196" s="80"/>
      <c r="C196" s="80"/>
      <c r="D196" s="80"/>
      <c r="E196" s="80"/>
      <c r="F196" s="80"/>
      <c r="G196" s="82"/>
      <c r="H196" s="105">
        <f t="shared" si="3"/>
        <v>1</v>
      </c>
    </row>
    <row r="197" spans="1:8" x14ac:dyDescent="0.25">
      <c r="A197" s="80"/>
      <c r="B197" s="80"/>
      <c r="C197" s="80"/>
      <c r="D197" s="80"/>
      <c r="E197" s="80"/>
      <c r="F197" s="80"/>
      <c r="G197" s="82"/>
      <c r="H197" s="105">
        <f t="shared" si="3"/>
        <v>1</v>
      </c>
    </row>
    <row r="198" spans="1:8" x14ac:dyDescent="0.25">
      <c r="A198" s="80"/>
      <c r="B198" s="80"/>
      <c r="C198" s="80"/>
      <c r="D198" s="80"/>
      <c r="E198" s="80"/>
      <c r="F198" s="80"/>
      <c r="G198" s="82"/>
      <c r="H198" s="105">
        <f t="shared" si="3"/>
        <v>1</v>
      </c>
    </row>
    <row r="199" spans="1:8" x14ac:dyDescent="0.25">
      <c r="A199" s="80"/>
      <c r="B199" s="80"/>
      <c r="C199" s="80"/>
      <c r="D199" s="80"/>
      <c r="E199" s="80"/>
      <c r="F199" s="80"/>
      <c r="G199" s="82"/>
      <c r="H199" s="105">
        <f t="shared" si="3"/>
        <v>1</v>
      </c>
    </row>
    <row r="200" spans="1:8" x14ac:dyDescent="0.25">
      <c r="A200" s="80"/>
      <c r="B200" s="80"/>
      <c r="C200" s="80"/>
      <c r="D200" s="80"/>
      <c r="E200" s="80"/>
      <c r="F200" s="80"/>
      <c r="G200" s="82"/>
      <c r="H200" s="105">
        <f t="shared" si="3"/>
        <v>1</v>
      </c>
    </row>
    <row r="201" spans="1:8" x14ac:dyDescent="0.25">
      <c r="A201" s="80"/>
      <c r="B201" s="80"/>
      <c r="C201" s="80"/>
      <c r="D201" s="80"/>
      <c r="E201" s="80"/>
      <c r="F201" s="80"/>
      <c r="G201" s="82"/>
      <c r="H201" s="105">
        <f t="shared" si="3"/>
        <v>1</v>
      </c>
    </row>
    <row r="202" spans="1:8" x14ac:dyDescent="0.25">
      <c r="A202" s="80"/>
      <c r="B202" s="80"/>
      <c r="C202" s="80"/>
      <c r="D202" s="80"/>
      <c r="E202" s="80"/>
      <c r="F202" s="80"/>
      <c r="G202" s="82"/>
      <c r="H202" s="105">
        <f t="shared" si="3"/>
        <v>1</v>
      </c>
    </row>
    <row r="203" spans="1:8" x14ac:dyDescent="0.25">
      <c r="A203" s="80"/>
      <c r="B203" s="80"/>
      <c r="C203" s="80"/>
      <c r="D203" s="80"/>
      <c r="E203" s="80"/>
      <c r="F203" s="80"/>
      <c r="G203" s="82"/>
      <c r="H203" s="105">
        <f t="shared" si="3"/>
        <v>1</v>
      </c>
    </row>
    <row r="204" spans="1:8" x14ac:dyDescent="0.25">
      <c r="A204" s="80"/>
      <c r="B204" s="80"/>
      <c r="C204" s="80"/>
      <c r="D204" s="80"/>
      <c r="E204" s="80"/>
      <c r="F204" s="80"/>
      <c r="G204" s="82"/>
      <c r="H204" s="105">
        <f t="shared" si="3"/>
        <v>1</v>
      </c>
    </row>
    <row r="205" spans="1:8" x14ac:dyDescent="0.25">
      <c r="A205" s="80"/>
      <c r="B205" s="80"/>
      <c r="C205" s="80"/>
      <c r="D205" s="80"/>
      <c r="E205" s="80"/>
      <c r="F205" s="80"/>
      <c r="G205" s="82"/>
      <c r="H205" s="105">
        <f t="shared" si="3"/>
        <v>1</v>
      </c>
    </row>
    <row r="206" spans="1:8" x14ac:dyDescent="0.25">
      <c r="A206" s="80"/>
      <c r="B206" s="80"/>
      <c r="C206" s="80"/>
      <c r="D206" s="80"/>
      <c r="E206" s="80"/>
      <c r="F206" s="80"/>
      <c r="G206" s="82"/>
      <c r="H206" s="105">
        <f t="shared" si="3"/>
        <v>1</v>
      </c>
    </row>
    <row r="207" spans="1:8" x14ac:dyDescent="0.25">
      <c r="A207" s="80"/>
      <c r="B207" s="80"/>
      <c r="C207" s="80"/>
      <c r="D207" s="80"/>
      <c r="E207" s="80"/>
      <c r="F207" s="80"/>
      <c r="G207" s="82"/>
      <c r="H207" s="105">
        <f t="shared" si="3"/>
        <v>1</v>
      </c>
    </row>
    <row r="208" spans="1:8" x14ac:dyDescent="0.25">
      <c r="A208" s="80"/>
      <c r="B208" s="80"/>
      <c r="C208" s="80"/>
      <c r="D208" s="80"/>
      <c r="E208" s="80"/>
      <c r="F208" s="80"/>
      <c r="G208" s="82"/>
      <c r="H208" s="105">
        <f t="shared" si="3"/>
        <v>1</v>
      </c>
    </row>
    <row r="209" spans="1:8" x14ac:dyDescent="0.25">
      <c r="A209" s="80"/>
      <c r="B209" s="80"/>
      <c r="C209" s="80"/>
      <c r="D209" s="80"/>
      <c r="E209" s="80"/>
      <c r="F209" s="80"/>
      <c r="G209" s="82"/>
      <c r="H209" s="105">
        <f t="shared" si="3"/>
        <v>1</v>
      </c>
    </row>
    <row r="210" spans="1:8" x14ac:dyDescent="0.25">
      <c r="A210" s="80"/>
      <c r="B210" s="80"/>
      <c r="C210" s="80"/>
      <c r="D210" s="80"/>
      <c r="E210" s="80"/>
      <c r="F210" s="80"/>
      <c r="G210" s="82"/>
      <c r="H210" s="105">
        <f t="shared" si="3"/>
        <v>1</v>
      </c>
    </row>
    <row r="211" spans="1:8" x14ac:dyDescent="0.25">
      <c r="A211" s="80"/>
      <c r="B211" s="80"/>
      <c r="C211" s="80"/>
      <c r="D211" s="80"/>
      <c r="E211" s="80"/>
      <c r="F211" s="80"/>
      <c r="G211" s="82"/>
      <c r="H211" s="105">
        <f t="shared" si="3"/>
        <v>1</v>
      </c>
    </row>
    <row r="212" spans="1:8" x14ac:dyDescent="0.25">
      <c r="A212" s="80"/>
      <c r="B212" s="80"/>
      <c r="C212" s="80"/>
      <c r="D212" s="80"/>
      <c r="E212" s="80"/>
      <c r="F212" s="80"/>
      <c r="G212" s="82"/>
      <c r="H212" s="105">
        <f t="shared" si="3"/>
        <v>1</v>
      </c>
    </row>
    <row r="213" spans="1:8" x14ac:dyDescent="0.25">
      <c r="A213" s="80"/>
      <c r="B213" s="80"/>
      <c r="C213" s="80"/>
      <c r="D213" s="80"/>
      <c r="E213" s="80"/>
      <c r="F213" s="80"/>
      <c r="G213" s="82"/>
      <c r="H213" s="105">
        <f t="shared" si="3"/>
        <v>1</v>
      </c>
    </row>
    <row r="214" spans="1:8" x14ac:dyDescent="0.25">
      <c r="A214" s="80"/>
      <c r="B214" s="80"/>
      <c r="C214" s="80"/>
      <c r="D214" s="80"/>
      <c r="E214" s="80"/>
      <c r="F214" s="80"/>
      <c r="G214" s="82"/>
      <c r="H214" s="105">
        <f t="shared" si="3"/>
        <v>1</v>
      </c>
    </row>
    <row r="215" spans="1:8" x14ac:dyDescent="0.25">
      <c r="A215" s="80"/>
      <c r="B215" s="80"/>
      <c r="C215" s="80"/>
      <c r="D215" s="80"/>
      <c r="E215" s="80"/>
      <c r="F215" s="80"/>
      <c r="G215" s="82"/>
      <c r="H215" s="105">
        <f t="shared" si="3"/>
        <v>1</v>
      </c>
    </row>
    <row r="216" spans="1:8" x14ac:dyDescent="0.25">
      <c r="A216" s="80"/>
      <c r="B216" s="80"/>
      <c r="C216" s="80"/>
      <c r="D216" s="80"/>
      <c r="E216" s="80"/>
      <c r="F216" s="80"/>
      <c r="G216" s="82"/>
      <c r="H216" s="105">
        <f t="shared" si="3"/>
        <v>1</v>
      </c>
    </row>
    <row r="217" spans="1:8" x14ac:dyDescent="0.25">
      <c r="A217" s="80"/>
      <c r="B217" s="80"/>
      <c r="C217" s="80"/>
      <c r="D217" s="80"/>
      <c r="E217" s="80"/>
      <c r="F217" s="80"/>
      <c r="G217" s="82"/>
      <c r="H217" s="105">
        <f t="shared" si="3"/>
        <v>1</v>
      </c>
    </row>
    <row r="218" spans="1:8" x14ac:dyDescent="0.25">
      <c r="A218" s="80"/>
      <c r="B218" s="80"/>
      <c r="C218" s="80"/>
      <c r="D218" s="80"/>
      <c r="E218" s="80"/>
      <c r="F218" s="80"/>
      <c r="G218" s="82"/>
      <c r="H218" s="105">
        <f t="shared" si="3"/>
        <v>1</v>
      </c>
    </row>
    <row r="219" spans="1:8" x14ac:dyDescent="0.25">
      <c r="A219" s="80"/>
      <c r="B219" s="80"/>
      <c r="C219" s="80"/>
      <c r="D219" s="80"/>
      <c r="E219" s="80"/>
      <c r="F219" s="80"/>
      <c r="G219" s="82"/>
      <c r="H219" s="105">
        <f t="shared" si="3"/>
        <v>1</v>
      </c>
    </row>
    <row r="220" spans="1:8" x14ac:dyDescent="0.25">
      <c r="A220" s="80"/>
      <c r="B220" s="80"/>
      <c r="C220" s="80"/>
      <c r="D220" s="80"/>
      <c r="E220" s="80"/>
      <c r="F220" s="80"/>
      <c r="G220" s="82"/>
      <c r="H220" s="105">
        <f t="shared" si="3"/>
        <v>1</v>
      </c>
    </row>
    <row r="221" spans="1:8" x14ac:dyDescent="0.25">
      <c r="A221" s="80"/>
      <c r="B221" s="80"/>
      <c r="C221" s="80"/>
      <c r="D221" s="80"/>
      <c r="E221" s="80"/>
      <c r="F221" s="80"/>
      <c r="G221" s="82"/>
      <c r="H221" s="105">
        <f t="shared" si="3"/>
        <v>1</v>
      </c>
    </row>
    <row r="222" spans="1:8" x14ac:dyDescent="0.25">
      <c r="A222" s="80"/>
      <c r="B222" s="80"/>
      <c r="C222" s="80"/>
      <c r="D222" s="80"/>
      <c r="E222" s="80"/>
      <c r="F222" s="80"/>
      <c r="G222" s="82"/>
      <c r="H222" s="105">
        <f t="shared" si="3"/>
        <v>1</v>
      </c>
    </row>
    <row r="223" spans="1:8" x14ac:dyDescent="0.25">
      <c r="A223" s="80"/>
      <c r="B223" s="80"/>
      <c r="C223" s="80"/>
      <c r="D223" s="80"/>
      <c r="E223" s="80"/>
      <c r="F223" s="80"/>
      <c r="G223" s="82"/>
      <c r="H223" s="105">
        <f t="shared" si="3"/>
        <v>1</v>
      </c>
    </row>
    <row r="224" spans="1:8" x14ac:dyDescent="0.25">
      <c r="A224" s="80"/>
      <c r="B224" s="80"/>
      <c r="C224" s="80"/>
      <c r="D224" s="80"/>
      <c r="E224" s="80"/>
      <c r="F224" s="80"/>
      <c r="G224" s="82"/>
      <c r="H224" s="105">
        <f t="shared" si="3"/>
        <v>1</v>
      </c>
    </row>
    <row r="225" spans="1:8" x14ac:dyDescent="0.25">
      <c r="A225" s="80"/>
      <c r="B225" s="80"/>
      <c r="C225" s="80"/>
      <c r="D225" s="80"/>
      <c r="E225" s="80"/>
      <c r="F225" s="80"/>
      <c r="G225" s="82"/>
      <c r="H225" s="105">
        <f t="shared" si="3"/>
        <v>1</v>
      </c>
    </row>
    <row r="226" spans="1:8" x14ac:dyDescent="0.25">
      <c r="A226" s="80"/>
      <c r="B226" s="80"/>
      <c r="C226" s="80"/>
      <c r="D226" s="80"/>
      <c r="E226" s="80"/>
      <c r="F226" s="80"/>
      <c r="G226" s="82"/>
      <c r="H226" s="105">
        <f t="shared" si="3"/>
        <v>1</v>
      </c>
    </row>
    <row r="227" spans="1:8" x14ac:dyDescent="0.25">
      <c r="A227" s="80"/>
      <c r="B227" s="80"/>
      <c r="C227" s="80"/>
      <c r="D227" s="80"/>
      <c r="E227" s="80"/>
      <c r="F227" s="80"/>
      <c r="G227" s="82"/>
      <c r="H227" s="105">
        <f t="shared" si="3"/>
        <v>1</v>
      </c>
    </row>
    <row r="228" spans="1:8" x14ac:dyDescent="0.25">
      <c r="A228" s="80"/>
      <c r="B228" s="80"/>
      <c r="C228" s="80"/>
      <c r="D228" s="80"/>
      <c r="E228" s="80"/>
      <c r="F228" s="80"/>
      <c r="G228" s="82"/>
      <c r="H228" s="105">
        <f t="shared" si="3"/>
        <v>1</v>
      </c>
    </row>
    <row r="229" spans="1:8" x14ac:dyDescent="0.25">
      <c r="A229" s="80"/>
      <c r="B229" s="80"/>
      <c r="C229" s="80"/>
      <c r="D229" s="80"/>
      <c r="E229" s="80"/>
      <c r="F229" s="80"/>
      <c r="G229" s="82"/>
      <c r="H229" s="105">
        <f t="shared" si="3"/>
        <v>1</v>
      </c>
    </row>
    <row r="230" spans="1:8" x14ac:dyDescent="0.25">
      <c r="A230" s="80"/>
      <c r="B230" s="80"/>
      <c r="C230" s="80"/>
      <c r="D230" s="80"/>
      <c r="E230" s="80"/>
      <c r="F230" s="80"/>
      <c r="G230" s="82"/>
      <c r="H230" s="105">
        <f t="shared" si="3"/>
        <v>1</v>
      </c>
    </row>
    <row r="231" spans="1:8" x14ac:dyDescent="0.25">
      <c r="A231" s="80"/>
      <c r="B231" s="80"/>
      <c r="C231" s="80"/>
      <c r="D231" s="80"/>
      <c r="E231" s="80"/>
      <c r="F231" s="80"/>
      <c r="G231" s="82"/>
      <c r="H231" s="105">
        <f t="shared" si="3"/>
        <v>1</v>
      </c>
    </row>
    <row r="232" spans="1:8" x14ac:dyDescent="0.25">
      <c r="A232" s="80"/>
      <c r="B232" s="80"/>
      <c r="C232" s="80"/>
      <c r="D232" s="80"/>
      <c r="E232" s="80"/>
      <c r="F232" s="80"/>
      <c r="G232" s="82"/>
      <c r="H232" s="105">
        <f t="shared" si="3"/>
        <v>1</v>
      </c>
    </row>
    <row r="233" spans="1:8" x14ac:dyDescent="0.25">
      <c r="A233" s="80"/>
      <c r="B233" s="80"/>
      <c r="C233" s="80"/>
      <c r="D233" s="80"/>
      <c r="E233" s="80"/>
      <c r="F233" s="80"/>
      <c r="G233" s="82"/>
      <c r="H233" s="105">
        <f t="shared" si="3"/>
        <v>1</v>
      </c>
    </row>
    <row r="234" spans="1:8" x14ac:dyDescent="0.25">
      <c r="A234" s="80"/>
      <c r="B234" s="80"/>
      <c r="C234" s="80"/>
      <c r="D234" s="80"/>
      <c r="E234" s="80"/>
      <c r="F234" s="80"/>
      <c r="G234" s="82"/>
      <c r="H234" s="105">
        <f t="shared" si="3"/>
        <v>1</v>
      </c>
    </row>
    <row r="235" spans="1:8" x14ac:dyDescent="0.25">
      <c r="A235" s="80"/>
      <c r="B235" s="80"/>
      <c r="C235" s="80"/>
      <c r="D235" s="80"/>
      <c r="E235" s="80"/>
      <c r="F235" s="80"/>
      <c r="G235" s="82"/>
      <c r="H235" s="105">
        <f t="shared" si="3"/>
        <v>1</v>
      </c>
    </row>
    <row r="236" spans="1:8" x14ac:dyDescent="0.25">
      <c r="A236" s="80"/>
      <c r="B236" s="80"/>
      <c r="C236" s="80"/>
      <c r="D236" s="80"/>
      <c r="E236" s="80"/>
      <c r="F236" s="80"/>
      <c r="G236" s="82"/>
      <c r="H236" s="105">
        <f t="shared" si="3"/>
        <v>1</v>
      </c>
    </row>
    <row r="237" spans="1:8" x14ac:dyDescent="0.25">
      <c r="A237" s="80"/>
      <c r="B237" s="80"/>
      <c r="C237" s="80"/>
      <c r="D237" s="80"/>
      <c r="E237" s="80"/>
      <c r="F237" s="80"/>
      <c r="G237" s="82"/>
      <c r="H237" s="105">
        <f t="shared" si="3"/>
        <v>1</v>
      </c>
    </row>
    <row r="238" spans="1:8" x14ac:dyDescent="0.25">
      <c r="A238" s="80"/>
      <c r="B238" s="80"/>
      <c r="C238" s="80"/>
      <c r="D238" s="80"/>
      <c r="E238" s="80"/>
      <c r="F238" s="80"/>
      <c r="G238" s="82"/>
      <c r="H238" s="105">
        <f t="shared" si="3"/>
        <v>1</v>
      </c>
    </row>
    <row r="239" spans="1:8" x14ac:dyDescent="0.25">
      <c r="A239" s="80"/>
      <c r="B239" s="80"/>
      <c r="C239" s="80"/>
      <c r="D239" s="80"/>
      <c r="E239" s="80"/>
      <c r="F239" s="80"/>
      <c r="G239" s="82"/>
      <c r="H239" s="105">
        <f t="shared" si="3"/>
        <v>1</v>
      </c>
    </row>
    <row r="240" spans="1:8" x14ac:dyDescent="0.25">
      <c r="A240" s="80"/>
      <c r="B240" s="80"/>
      <c r="C240" s="80"/>
      <c r="D240" s="80"/>
      <c r="E240" s="80"/>
      <c r="F240" s="80"/>
      <c r="G240" s="82"/>
      <c r="H240" s="105">
        <f t="shared" si="3"/>
        <v>1</v>
      </c>
    </row>
    <row r="241" spans="1:8" x14ac:dyDescent="0.25">
      <c r="A241" s="80"/>
      <c r="B241" s="80"/>
      <c r="C241" s="80"/>
      <c r="D241" s="80"/>
      <c r="E241" s="80"/>
      <c r="F241" s="80"/>
      <c r="G241" s="82"/>
      <c r="H241" s="105">
        <f t="shared" si="3"/>
        <v>1</v>
      </c>
    </row>
    <row r="242" spans="1:8" x14ac:dyDescent="0.25">
      <c r="A242" s="80"/>
      <c r="B242" s="80"/>
      <c r="C242" s="80"/>
      <c r="D242" s="80"/>
      <c r="E242" s="80"/>
      <c r="F242" s="80"/>
      <c r="G242" s="82"/>
      <c r="H242" s="105">
        <f t="shared" si="3"/>
        <v>1</v>
      </c>
    </row>
    <row r="243" spans="1:8" x14ac:dyDescent="0.25">
      <c r="A243" s="80"/>
      <c r="B243" s="80"/>
      <c r="C243" s="80"/>
      <c r="D243" s="80"/>
      <c r="E243" s="80"/>
      <c r="F243" s="80"/>
      <c r="G243" s="82"/>
      <c r="H243" s="105">
        <f t="shared" si="3"/>
        <v>1</v>
      </c>
    </row>
    <row r="244" spans="1:8" x14ac:dyDescent="0.25">
      <c r="A244" s="80"/>
      <c r="B244" s="80"/>
      <c r="C244" s="80"/>
      <c r="D244" s="80"/>
      <c r="E244" s="80"/>
      <c r="F244" s="80"/>
      <c r="G244" s="82"/>
      <c r="H244" s="105">
        <f t="shared" si="3"/>
        <v>1</v>
      </c>
    </row>
    <row r="245" spans="1:8" x14ac:dyDescent="0.25">
      <c r="A245" s="80"/>
      <c r="B245" s="80"/>
      <c r="C245" s="80"/>
      <c r="D245" s="80"/>
      <c r="E245" s="80"/>
      <c r="F245" s="80"/>
      <c r="G245" s="82"/>
      <c r="H245" s="105">
        <f t="shared" si="3"/>
        <v>1</v>
      </c>
    </row>
    <row r="246" spans="1:8" x14ac:dyDescent="0.25">
      <c r="A246" s="80"/>
      <c r="B246" s="80"/>
      <c r="C246" s="80"/>
      <c r="D246" s="80"/>
      <c r="E246" s="80"/>
      <c r="F246" s="80"/>
      <c r="G246" s="82"/>
      <c r="H246" s="105">
        <f t="shared" si="3"/>
        <v>1</v>
      </c>
    </row>
    <row r="247" spans="1:8" x14ac:dyDescent="0.25">
      <c r="A247" s="80"/>
      <c r="B247" s="80"/>
      <c r="C247" s="80"/>
      <c r="D247" s="80"/>
      <c r="E247" s="80"/>
      <c r="F247" s="80"/>
      <c r="G247" s="82"/>
      <c r="H247" s="105">
        <f t="shared" si="3"/>
        <v>1</v>
      </c>
    </row>
    <row r="248" spans="1:8" x14ac:dyDescent="0.25">
      <c r="A248" s="80"/>
      <c r="B248" s="80"/>
      <c r="C248" s="80"/>
      <c r="D248" s="80"/>
      <c r="E248" s="80"/>
      <c r="F248" s="80"/>
      <c r="G248" s="82"/>
      <c r="H248" s="105">
        <f t="shared" si="3"/>
        <v>1</v>
      </c>
    </row>
    <row r="249" spans="1:8" x14ac:dyDescent="0.25">
      <c r="A249" s="80"/>
      <c r="B249" s="80"/>
      <c r="C249" s="80"/>
      <c r="D249" s="80"/>
      <c r="E249" s="80"/>
      <c r="F249" s="80"/>
      <c r="G249" s="82"/>
      <c r="H249" s="105">
        <f t="shared" si="3"/>
        <v>1</v>
      </c>
    </row>
    <row r="250" spans="1:8" x14ac:dyDescent="0.25">
      <c r="A250" s="80"/>
      <c r="B250" s="80"/>
      <c r="C250" s="80"/>
      <c r="D250" s="80"/>
      <c r="E250" s="80"/>
      <c r="F250" s="80"/>
      <c r="G250" s="82"/>
      <c r="H250" s="105">
        <f t="shared" si="3"/>
        <v>1</v>
      </c>
    </row>
    <row r="251" spans="1:8" x14ac:dyDescent="0.25">
      <c r="A251" s="80"/>
      <c r="B251" s="80"/>
      <c r="C251" s="80"/>
      <c r="D251" s="80"/>
      <c r="E251" s="80"/>
      <c r="F251" s="80"/>
      <c r="G251" s="82"/>
      <c r="H251" s="105">
        <f t="shared" si="3"/>
        <v>1</v>
      </c>
    </row>
    <row r="252" spans="1:8" x14ac:dyDescent="0.25">
      <c r="A252" s="80"/>
      <c r="B252" s="80"/>
      <c r="C252" s="80"/>
      <c r="D252" s="80"/>
      <c r="E252" s="80"/>
      <c r="F252" s="80"/>
      <c r="G252" s="82"/>
      <c r="H252" s="105">
        <f t="shared" si="3"/>
        <v>1</v>
      </c>
    </row>
    <row r="253" spans="1:8" x14ac:dyDescent="0.25">
      <c r="A253" s="80"/>
      <c r="B253" s="80"/>
      <c r="C253" s="80"/>
      <c r="D253" s="80"/>
      <c r="E253" s="80"/>
      <c r="F253" s="80"/>
      <c r="G253" s="82"/>
      <c r="H253" s="105">
        <f t="shared" si="3"/>
        <v>1</v>
      </c>
    </row>
    <row r="254" spans="1:8" x14ac:dyDescent="0.25">
      <c r="A254" s="80"/>
      <c r="B254" s="80"/>
      <c r="C254" s="80"/>
      <c r="D254" s="80"/>
      <c r="E254" s="80"/>
      <c r="F254" s="80"/>
      <c r="G254" s="82"/>
      <c r="H254" s="105">
        <f t="shared" si="3"/>
        <v>1</v>
      </c>
    </row>
    <row r="255" spans="1:8" x14ac:dyDescent="0.25">
      <c r="A255" s="80"/>
      <c r="B255" s="80"/>
      <c r="C255" s="80"/>
      <c r="D255" s="80"/>
      <c r="E255" s="80"/>
      <c r="F255" s="80"/>
      <c r="G255" s="82"/>
      <c r="H255" s="105">
        <f t="shared" si="3"/>
        <v>1</v>
      </c>
    </row>
    <row r="256" spans="1:8" x14ac:dyDescent="0.25">
      <c r="A256" s="80"/>
      <c r="B256" s="80"/>
      <c r="C256" s="80"/>
      <c r="D256" s="80"/>
      <c r="E256" s="80"/>
      <c r="F256" s="80"/>
      <c r="G256" s="82"/>
      <c r="H256" s="105">
        <f t="shared" si="3"/>
        <v>1</v>
      </c>
    </row>
    <row r="257" spans="1:8" x14ac:dyDescent="0.25">
      <c r="A257" s="80"/>
      <c r="B257" s="80"/>
      <c r="C257" s="80"/>
      <c r="D257" s="80"/>
      <c r="E257" s="80"/>
      <c r="F257" s="80"/>
      <c r="G257" s="82"/>
      <c r="H257" s="105">
        <f t="shared" si="3"/>
        <v>1</v>
      </c>
    </row>
    <row r="258" spans="1:8" x14ac:dyDescent="0.25">
      <c r="A258" s="80"/>
      <c r="B258" s="80"/>
      <c r="C258" s="80"/>
      <c r="D258" s="80"/>
      <c r="E258" s="80"/>
      <c r="F258" s="80"/>
      <c r="G258" s="82"/>
      <c r="H258" s="105">
        <f t="shared" si="3"/>
        <v>1</v>
      </c>
    </row>
    <row r="259" spans="1:8" x14ac:dyDescent="0.25">
      <c r="A259" s="80"/>
      <c r="B259" s="80"/>
      <c r="C259" s="80"/>
      <c r="D259" s="80"/>
      <c r="E259" s="80"/>
      <c r="F259" s="80"/>
      <c r="G259" s="82"/>
      <c r="H259" s="105">
        <f t="shared" ref="H259:H322" si="4">MONTH(A259)</f>
        <v>1</v>
      </c>
    </row>
    <row r="260" spans="1:8" x14ac:dyDescent="0.25">
      <c r="A260" s="80"/>
      <c r="B260" s="80"/>
      <c r="C260" s="80"/>
      <c r="D260" s="80"/>
      <c r="E260" s="80"/>
      <c r="F260" s="80"/>
      <c r="G260" s="82"/>
      <c r="H260" s="105">
        <f t="shared" si="4"/>
        <v>1</v>
      </c>
    </row>
    <row r="261" spans="1:8" x14ac:dyDescent="0.25">
      <c r="A261" s="80"/>
      <c r="B261" s="80"/>
      <c r="C261" s="80"/>
      <c r="D261" s="80"/>
      <c r="E261" s="80"/>
      <c r="F261" s="80"/>
      <c r="G261" s="82"/>
      <c r="H261" s="105">
        <f t="shared" si="4"/>
        <v>1</v>
      </c>
    </row>
    <row r="262" spans="1:8" x14ac:dyDescent="0.25">
      <c r="A262" s="80"/>
      <c r="B262" s="80"/>
      <c r="C262" s="80"/>
      <c r="D262" s="80"/>
      <c r="E262" s="80"/>
      <c r="F262" s="80"/>
      <c r="G262" s="82"/>
      <c r="H262" s="105">
        <f t="shared" si="4"/>
        <v>1</v>
      </c>
    </row>
    <row r="263" spans="1:8" x14ac:dyDescent="0.25">
      <c r="A263" s="80"/>
      <c r="B263" s="80"/>
      <c r="C263" s="80"/>
      <c r="D263" s="80"/>
      <c r="E263" s="80"/>
      <c r="F263" s="80"/>
      <c r="G263" s="82"/>
      <c r="H263" s="105">
        <f t="shared" si="4"/>
        <v>1</v>
      </c>
    </row>
    <row r="264" spans="1:8" x14ac:dyDescent="0.25">
      <c r="A264" s="80"/>
      <c r="B264" s="80"/>
      <c r="C264" s="80"/>
      <c r="D264" s="80"/>
      <c r="E264" s="80"/>
      <c r="F264" s="80"/>
      <c r="G264" s="82"/>
      <c r="H264" s="105">
        <f t="shared" si="4"/>
        <v>1</v>
      </c>
    </row>
    <row r="265" spans="1:8" x14ac:dyDescent="0.25">
      <c r="A265" s="80"/>
      <c r="B265" s="80"/>
      <c r="C265" s="80"/>
      <c r="D265" s="80"/>
      <c r="E265" s="80"/>
      <c r="F265" s="80"/>
      <c r="G265" s="82"/>
      <c r="H265" s="105">
        <f t="shared" si="4"/>
        <v>1</v>
      </c>
    </row>
    <row r="266" spans="1:8" x14ac:dyDescent="0.25">
      <c r="A266" s="80"/>
      <c r="B266" s="80"/>
      <c r="C266" s="80"/>
      <c r="D266" s="80"/>
      <c r="E266" s="80"/>
      <c r="F266" s="80"/>
      <c r="G266" s="82"/>
      <c r="H266" s="105">
        <f t="shared" si="4"/>
        <v>1</v>
      </c>
    </row>
    <row r="267" spans="1:8" x14ac:dyDescent="0.25">
      <c r="A267" s="80"/>
      <c r="B267" s="80"/>
      <c r="C267" s="80"/>
      <c r="D267" s="80"/>
      <c r="E267" s="80"/>
      <c r="F267" s="80"/>
      <c r="G267" s="82"/>
      <c r="H267" s="105">
        <f t="shared" si="4"/>
        <v>1</v>
      </c>
    </row>
    <row r="268" spans="1:8" x14ac:dyDescent="0.25">
      <c r="A268" s="80"/>
      <c r="B268" s="80"/>
      <c r="C268" s="80"/>
      <c r="D268" s="80"/>
      <c r="E268" s="80"/>
      <c r="F268" s="80"/>
      <c r="G268" s="82"/>
      <c r="H268" s="105">
        <f t="shared" si="4"/>
        <v>1</v>
      </c>
    </row>
    <row r="269" spans="1:8" x14ac:dyDescent="0.25">
      <c r="A269" s="80"/>
      <c r="B269" s="80"/>
      <c r="C269" s="80"/>
      <c r="D269" s="80"/>
      <c r="E269" s="80"/>
      <c r="F269" s="80"/>
      <c r="G269" s="82"/>
      <c r="H269" s="105">
        <f t="shared" si="4"/>
        <v>1</v>
      </c>
    </row>
    <row r="270" spans="1:8" x14ac:dyDescent="0.25">
      <c r="A270" s="80"/>
      <c r="B270" s="80"/>
      <c r="C270" s="80"/>
      <c r="D270" s="80"/>
      <c r="E270" s="80"/>
      <c r="F270" s="80"/>
      <c r="G270" s="82"/>
      <c r="H270" s="105">
        <f t="shared" si="4"/>
        <v>1</v>
      </c>
    </row>
    <row r="271" spans="1:8" x14ac:dyDescent="0.25">
      <c r="A271" s="80"/>
      <c r="B271" s="80"/>
      <c r="C271" s="80"/>
      <c r="D271" s="80"/>
      <c r="E271" s="80"/>
      <c r="F271" s="80"/>
      <c r="G271" s="82"/>
      <c r="H271" s="105">
        <f t="shared" si="4"/>
        <v>1</v>
      </c>
    </row>
    <row r="272" spans="1:8" x14ac:dyDescent="0.25">
      <c r="A272" s="80"/>
      <c r="B272" s="80"/>
      <c r="C272" s="80"/>
      <c r="D272" s="80"/>
      <c r="E272" s="80"/>
      <c r="F272" s="80"/>
      <c r="G272" s="82"/>
      <c r="H272" s="105">
        <f t="shared" si="4"/>
        <v>1</v>
      </c>
    </row>
    <row r="273" spans="1:8" x14ac:dyDescent="0.25">
      <c r="A273" s="80"/>
      <c r="B273" s="80"/>
      <c r="C273" s="80"/>
      <c r="D273" s="80"/>
      <c r="E273" s="80"/>
      <c r="F273" s="80"/>
      <c r="G273" s="82"/>
      <c r="H273" s="105">
        <f t="shared" si="4"/>
        <v>1</v>
      </c>
    </row>
    <row r="274" spans="1:8" x14ac:dyDescent="0.25">
      <c r="A274" s="80"/>
      <c r="B274" s="80"/>
      <c r="C274" s="80"/>
      <c r="D274" s="80"/>
      <c r="E274" s="80"/>
      <c r="F274" s="80"/>
      <c r="G274" s="82"/>
      <c r="H274" s="105">
        <f t="shared" si="4"/>
        <v>1</v>
      </c>
    </row>
    <row r="275" spans="1:8" x14ac:dyDescent="0.25">
      <c r="A275" s="80"/>
      <c r="B275" s="80"/>
      <c r="C275" s="80"/>
      <c r="D275" s="80"/>
      <c r="E275" s="80"/>
      <c r="F275" s="80"/>
      <c r="G275" s="82"/>
      <c r="H275" s="105">
        <f t="shared" si="4"/>
        <v>1</v>
      </c>
    </row>
    <row r="276" spans="1:8" x14ac:dyDescent="0.25">
      <c r="A276" s="80"/>
      <c r="B276" s="80"/>
      <c r="C276" s="80"/>
      <c r="D276" s="80"/>
      <c r="E276" s="80"/>
      <c r="F276" s="80"/>
      <c r="G276" s="82"/>
      <c r="H276" s="105">
        <f t="shared" si="4"/>
        <v>1</v>
      </c>
    </row>
    <row r="277" spans="1:8" x14ac:dyDescent="0.25">
      <c r="A277" s="80"/>
      <c r="B277" s="80"/>
      <c r="C277" s="80"/>
      <c r="D277" s="80"/>
      <c r="E277" s="80"/>
      <c r="F277" s="80"/>
      <c r="G277" s="82"/>
      <c r="H277" s="105">
        <f t="shared" si="4"/>
        <v>1</v>
      </c>
    </row>
    <row r="278" spans="1:8" x14ac:dyDescent="0.25">
      <c r="A278" s="80"/>
      <c r="B278" s="80"/>
      <c r="C278" s="80"/>
      <c r="D278" s="80"/>
      <c r="E278" s="80"/>
      <c r="F278" s="80"/>
      <c r="G278" s="82"/>
      <c r="H278" s="105">
        <f t="shared" si="4"/>
        <v>1</v>
      </c>
    </row>
    <row r="279" spans="1:8" x14ac:dyDescent="0.25">
      <c r="A279" s="80"/>
      <c r="B279" s="80"/>
      <c r="C279" s="80"/>
      <c r="D279" s="80"/>
      <c r="E279" s="80"/>
      <c r="F279" s="80"/>
      <c r="G279" s="82"/>
      <c r="H279" s="105">
        <f t="shared" si="4"/>
        <v>1</v>
      </c>
    </row>
    <row r="280" spans="1:8" x14ac:dyDescent="0.25">
      <c r="A280" s="80"/>
      <c r="B280" s="80"/>
      <c r="C280" s="80"/>
      <c r="D280" s="80"/>
      <c r="E280" s="80"/>
      <c r="F280" s="80"/>
      <c r="G280" s="82"/>
      <c r="H280" s="105">
        <f t="shared" si="4"/>
        <v>1</v>
      </c>
    </row>
    <row r="281" spans="1:8" x14ac:dyDescent="0.25">
      <c r="A281" s="80"/>
      <c r="B281" s="80"/>
      <c r="C281" s="80"/>
      <c r="D281" s="80"/>
      <c r="E281" s="80"/>
      <c r="F281" s="80"/>
      <c r="G281" s="82"/>
      <c r="H281" s="105">
        <f t="shared" si="4"/>
        <v>1</v>
      </c>
    </row>
    <row r="282" spans="1:8" x14ac:dyDescent="0.25">
      <c r="A282" s="80"/>
      <c r="B282" s="80"/>
      <c r="C282" s="80"/>
      <c r="D282" s="80"/>
      <c r="E282" s="80"/>
      <c r="F282" s="80"/>
      <c r="G282" s="82"/>
      <c r="H282" s="105">
        <f t="shared" si="4"/>
        <v>1</v>
      </c>
    </row>
    <row r="283" spans="1:8" x14ac:dyDescent="0.25">
      <c r="A283" s="80"/>
      <c r="B283" s="80"/>
      <c r="C283" s="80"/>
      <c r="D283" s="80"/>
      <c r="E283" s="80"/>
      <c r="F283" s="80"/>
      <c r="G283" s="82"/>
      <c r="H283" s="105">
        <f t="shared" si="4"/>
        <v>1</v>
      </c>
    </row>
    <row r="284" spans="1:8" x14ac:dyDescent="0.25">
      <c r="A284" s="80"/>
      <c r="B284" s="80"/>
      <c r="C284" s="80"/>
      <c r="D284" s="80"/>
      <c r="E284" s="80"/>
      <c r="F284" s="80"/>
      <c r="G284" s="82"/>
      <c r="H284" s="105">
        <f t="shared" si="4"/>
        <v>1</v>
      </c>
    </row>
    <row r="285" spans="1:8" x14ac:dyDescent="0.25">
      <c r="A285" s="80"/>
      <c r="B285" s="80"/>
      <c r="C285" s="80"/>
      <c r="D285" s="80"/>
      <c r="E285" s="80"/>
      <c r="F285" s="80"/>
      <c r="G285" s="82"/>
      <c r="H285" s="105">
        <f t="shared" si="4"/>
        <v>1</v>
      </c>
    </row>
    <row r="286" spans="1:8" x14ac:dyDescent="0.25">
      <c r="A286" s="80"/>
      <c r="B286" s="80"/>
      <c r="C286" s="80"/>
      <c r="D286" s="80"/>
      <c r="E286" s="80"/>
      <c r="F286" s="80"/>
      <c r="G286" s="82"/>
      <c r="H286" s="105">
        <f t="shared" si="4"/>
        <v>1</v>
      </c>
    </row>
    <row r="287" spans="1:8" x14ac:dyDescent="0.25">
      <c r="A287" s="80"/>
      <c r="B287" s="80"/>
      <c r="C287" s="80"/>
      <c r="D287" s="80"/>
      <c r="E287" s="80"/>
      <c r="F287" s="80"/>
      <c r="G287" s="82"/>
      <c r="H287" s="105">
        <f t="shared" si="4"/>
        <v>1</v>
      </c>
    </row>
    <row r="288" spans="1:8" x14ac:dyDescent="0.25">
      <c r="A288" s="80"/>
      <c r="B288" s="80"/>
      <c r="C288" s="80"/>
      <c r="D288" s="80"/>
      <c r="E288" s="80"/>
      <c r="F288" s="80"/>
      <c r="G288" s="82"/>
      <c r="H288" s="105">
        <f t="shared" si="4"/>
        <v>1</v>
      </c>
    </row>
    <row r="289" spans="1:8" x14ac:dyDescent="0.25">
      <c r="A289" s="80"/>
      <c r="B289" s="80"/>
      <c r="C289" s="80"/>
      <c r="D289" s="80"/>
      <c r="E289" s="80"/>
      <c r="F289" s="80"/>
      <c r="G289" s="82"/>
      <c r="H289" s="105">
        <f t="shared" si="4"/>
        <v>1</v>
      </c>
    </row>
    <row r="290" spans="1:8" x14ac:dyDescent="0.25">
      <c r="A290" s="80"/>
      <c r="B290" s="80"/>
      <c r="C290" s="80"/>
      <c r="D290" s="80"/>
      <c r="E290" s="80"/>
      <c r="F290" s="80"/>
      <c r="G290" s="82"/>
      <c r="H290" s="105">
        <f t="shared" si="4"/>
        <v>1</v>
      </c>
    </row>
    <row r="291" spans="1:8" x14ac:dyDescent="0.25">
      <c r="A291" s="80"/>
      <c r="B291" s="80"/>
      <c r="C291" s="80"/>
      <c r="D291" s="80"/>
      <c r="E291" s="80"/>
      <c r="F291" s="80"/>
      <c r="G291" s="82"/>
      <c r="H291" s="105">
        <f t="shared" si="4"/>
        <v>1</v>
      </c>
    </row>
    <row r="292" spans="1:8" x14ac:dyDescent="0.25">
      <c r="A292" s="80"/>
      <c r="B292" s="80"/>
      <c r="C292" s="80"/>
      <c r="D292" s="80"/>
      <c r="E292" s="80"/>
      <c r="F292" s="80"/>
      <c r="G292" s="82"/>
      <c r="H292" s="105">
        <f t="shared" si="4"/>
        <v>1</v>
      </c>
    </row>
    <row r="293" spans="1:8" x14ac:dyDescent="0.25">
      <c r="A293" s="80"/>
      <c r="B293" s="80"/>
      <c r="C293" s="80"/>
      <c r="D293" s="80"/>
      <c r="E293" s="80"/>
      <c r="F293" s="80"/>
      <c r="G293" s="82"/>
      <c r="H293" s="105">
        <f t="shared" si="4"/>
        <v>1</v>
      </c>
    </row>
    <row r="294" spans="1:8" x14ac:dyDescent="0.25">
      <c r="A294" s="80"/>
      <c r="B294" s="80"/>
      <c r="C294" s="80"/>
      <c r="D294" s="80"/>
      <c r="E294" s="80"/>
      <c r="F294" s="80"/>
      <c r="G294" s="82"/>
      <c r="H294" s="105">
        <f t="shared" si="4"/>
        <v>1</v>
      </c>
    </row>
    <row r="295" spans="1:8" x14ac:dyDescent="0.25">
      <c r="A295" s="80"/>
      <c r="B295" s="80"/>
      <c r="C295" s="80"/>
      <c r="D295" s="80"/>
      <c r="E295" s="80"/>
      <c r="F295" s="80"/>
      <c r="G295" s="82"/>
      <c r="H295" s="105">
        <f t="shared" si="4"/>
        <v>1</v>
      </c>
    </row>
    <row r="296" spans="1:8" x14ac:dyDescent="0.25">
      <c r="A296" s="80"/>
      <c r="B296" s="80"/>
      <c r="C296" s="80"/>
      <c r="D296" s="80"/>
      <c r="E296" s="80"/>
      <c r="F296" s="80"/>
      <c r="G296" s="82"/>
      <c r="H296" s="105">
        <f t="shared" si="4"/>
        <v>1</v>
      </c>
    </row>
    <row r="297" spans="1:8" x14ac:dyDescent="0.25">
      <c r="A297" s="80"/>
      <c r="B297" s="80"/>
      <c r="C297" s="80"/>
      <c r="D297" s="80"/>
      <c r="E297" s="80"/>
      <c r="F297" s="80"/>
      <c r="G297" s="82"/>
      <c r="H297" s="105">
        <f t="shared" si="4"/>
        <v>1</v>
      </c>
    </row>
    <row r="298" spans="1:8" x14ac:dyDescent="0.25">
      <c r="A298" s="80"/>
      <c r="B298" s="80"/>
      <c r="C298" s="80"/>
      <c r="D298" s="80"/>
      <c r="E298" s="80"/>
      <c r="F298" s="80"/>
      <c r="G298" s="82"/>
      <c r="H298" s="105">
        <f t="shared" si="4"/>
        <v>1</v>
      </c>
    </row>
    <row r="299" spans="1:8" x14ac:dyDescent="0.25">
      <c r="A299" s="80"/>
      <c r="B299" s="80"/>
      <c r="C299" s="80"/>
      <c r="D299" s="80"/>
      <c r="E299" s="80"/>
      <c r="F299" s="80"/>
      <c r="G299" s="82"/>
      <c r="H299" s="105">
        <f t="shared" si="4"/>
        <v>1</v>
      </c>
    </row>
    <row r="300" spans="1:8" x14ac:dyDescent="0.25">
      <c r="A300" s="80"/>
      <c r="B300" s="80"/>
      <c r="C300" s="80"/>
      <c r="D300" s="80"/>
      <c r="E300" s="80"/>
      <c r="F300" s="80"/>
      <c r="G300" s="82"/>
      <c r="H300" s="105">
        <f t="shared" si="4"/>
        <v>1</v>
      </c>
    </row>
    <row r="301" spans="1:8" x14ac:dyDescent="0.25">
      <c r="A301" s="80"/>
      <c r="B301" s="80"/>
      <c r="C301" s="80"/>
      <c r="D301" s="80"/>
      <c r="E301" s="80"/>
      <c r="F301" s="80"/>
      <c r="G301" s="82"/>
      <c r="H301" s="105">
        <f t="shared" si="4"/>
        <v>1</v>
      </c>
    </row>
    <row r="302" spans="1:8" x14ac:dyDescent="0.25">
      <c r="A302" s="80"/>
      <c r="B302" s="80"/>
      <c r="C302" s="80"/>
      <c r="D302" s="80"/>
      <c r="E302" s="80"/>
      <c r="F302" s="80"/>
      <c r="G302" s="82"/>
      <c r="H302" s="105">
        <f t="shared" si="4"/>
        <v>1</v>
      </c>
    </row>
    <row r="303" spans="1:8" x14ac:dyDescent="0.25">
      <c r="A303" s="80"/>
      <c r="B303" s="80"/>
      <c r="C303" s="80"/>
      <c r="D303" s="80"/>
      <c r="E303" s="80"/>
      <c r="F303" s="80"/>
      <c r="G303" s="82"/>
      <c r="H303" s="105">
        <f t="shared" si="4"/>
        <v>1</v>
      </c>
    </row>
    <row r="304" spans="1:8" x14ac:dyDescent="0.25">
      <c r="A304" s="80"/>
      <c r="B304" s="80"/>
      <c r="C304" s="80"/>
      <c r="D304" s="80"/>
      <c r="E304" s="80"/>
      <c r="F304" s="80"/>
      <c r="G304" s="82"/>
      <c r="H304" s="105">
        <f t="shared" si="4"/>
        <v>1</v>
      </c>
    </row>
    <row r="305" spans="1:8" x14ac:dyDescent="0.25">
      <c r="A305" s="80"/>
      <c r="B305" s="80"/>
      <c r="C305" s="80"/>
      <c r="D305" s="80"/>
      <c r="E305" s="80"/>
      <c r="F305" s="80"/>
      <c r="G305" s="82"/>
      <c r="H305" s="105">
        <f t="shared" si="4"/>
        <v>1</v>
      </c>
    </row>
    <row r="306" spans="1:8" x14ac:dyDescent="0.25">
      <c r="A306" s="80"/>
      <c r="B306" s="80"/>
      <c r="C306" s="80"/>
      <c r="D306" s="80"/>
      <c r="E306" s="80"/>
      <c r="F306" s="80"/>
      <c r="G306" s="82"/>
      <c r="H306" s="105">
        <f t="shared" si="4"/>
        <v>1</v>
      </c>
    </row>
    <row r="307" spans="1:8" x14ac:dyDescent="0.25">
      <c r="A307" s="80"/>
      <c r="B307" s="80"/>
      <c r="C307" s="80"/>
      <c r="D307" s="80"/>
      <c r="E307" s="80"/>
      <c r="F307" s="80"/>
      <c r="G307" s="82"/>
      <c r="H307" s="105">
        <f t="shared" si="4"/>
        <v>1</v>
      </c>
    </row>
    <row r="308" spans="1:8" x14ac:dyDescent="0.25">
      <c r="A308" s="80"/>
      <c r="B308" s="80"/>
      <c r="C308" s="80"/>
      <c r="D308" s="80"/>
      <c r="E308" s="80"/>
      <c r="F308" s="80"/>
      <c r="G308" s="82"/>
      <c r="H308" s="105">
        <f t="shared" si="4"/>
        <v>1</v>
      </c>
    </row>
    <row r="309" spans="1:8" x14ac:dyDescent="0.25">
      <c r="A309" s="80"/>
      <c r="B309" s="80"/>
      <c r="C309" s="80"/>
      <c r="D309" s="80"/>
      <c r="E309" s="80"/>
      <c r="F309" s="80"/>
      <c r="G309" s="82"/>
      <c r="H309" s="105">
        <f t="shared" si="4"/>
        <v>1</v>
      </c>
    </row>
    <row r="310" spans="1:8" x14ac:dyDescent="0.25">
      <c r="A310" s="80"/>
      <c r="B310" s="80"/>
      <c r="C310" s="80"/>
      <c r="D310" s="80"/>
      <c r="E310" s="80"/>
      <c r="F310" s="80"/>
      <c r="G310" s="82"/>
      <c r="H310" s="105">
        <f t="shared" si="4"/>
        <v>1</v>
      </c>
    </row>
    <row r="311" spans="1:8" x14ac:dyDescent="0.25">
      <c r="A311" s="80"/>
      <c r="B311" s="80"/>
      <c r="C311" s="80"/>
      <c r="D311" s="80"/>
      <c r="E311" s="80"/>
      <c r="F311" s="80"/>
      <c r="G311" s="82"/>
      <c r="H311" s="105">
        <f t="shared" si="4"/>
        <v>1</v>
      </c>
    </row>
    <row r="312" spans="1:8" x14ac:dyDescent="0.25">
      <c r="A312" s="80"/>
      <c r="B312" s="80"/>
      <c r="C312" s="80"/>
      <c r="D312" s="80"/>
      <c r="E312" s="80"/>
      <c r="F312" s="80"/>
      <c r="G312" s="82"/>
      <c r="H312" s="105">
        <f t="shared" si="4"/>
        <v>1</v>
      </c>
    </row>
    <row r="313" spans="1:8" x14ac:dyDescent="0.25">
      <c r="A313" s="80"/>
      <c r="B313" s="80"/>
      <c r="C313" s="80"/>
      <c r="D313" s="80"/>
      <c r="E313" s="80"/>
      <c r="F313" s="80"/>
      <c r="G313" s="82"/>
      <c r="H313" s="105">
        <f t="shared" si="4"/>
        <v>1</v>
      </c>
    </row>
    <row r="314" spans="1:8" x14ac:dyDescent="0.25">
      <c r="A314" s="80"/>
      <c r="B314" s="80"/>
      <c r="C314" s="80"/>
      <c r="D314" s="80"/>
      <c r="E314" s="80"/>
      <c r="F314" s="80"/>
      <c r="G314" s="82"/>
      <c r="H314" s="105">
        <f t="shared" si="4"/>
        <v>1</v>
      </c>
    </row>
    <row r="315" spans="1:8" x14ac:dyDescent="0.25">
      <c r="A315" s="80"/>
      <c r="B315" s="80"/>
      <c r="C315" s="80"/>
      <c r="D315" s="80"/>
      <c r="E315" s="80"/>
      <c r="F315" s="80"/>
      <c r="G315" s="82"/>
      <c r="H315" s="105">
        <f t="shared" si="4"/>
        <v>1</v>
      </c>
    </row>
    <row r="316" spans="1:8" x14ac:dyDescent="0.25">
      <c r="A316" s="80"/>
      <c r="B316" s="80"/>
      <c r="C316" s="80"/>
      <c r="D316" s="80"/>
      <c r="E316" s="80"/>
      <c r="F316" s="80"/>
      <c r="G316" s="82"/>
      <c r="H316" s="105">
        <f t="shared" si="4"/>
        <v>1</v>
      </c>
    </row>
    <row r="317" spans="1:8" x14ac:dyDescent="0.25">
      <c r="A317" s="80"/>
      <c r="B317" s="80"/>
      <c r="C317" s="80"/>
      <c r="D317" s="80"/>
      <c r="E317" s="80"/>
      <c r="F317" s="80"/>
      <c r="G317" s="82"/>
      <c r="H317" s="105">
        <f t="shared" si="4"/>
        <v>1</v>
      </c>
    </row>
    <row r="318" spans="1:8" x14ac:dyDescent="0.25">
      <c r="A318" s="80"/>
      <c r="B318" s="80"/>
      <c r="C318" s="80"/>
      <c r="D318" s="80"/>
      <c r="E318" s="80"/>
      <c r="F318" s="80"/>
      <c r="G318" s="82"/>
      <c r="H318" s="105">
        <f t="shared" si="4"/>
        <v>1</v>
      </c>
    </row>
    <row r="319" spans="1:8" x14ac:dyDescent="0.25">
      <c r="A319" s="80"/>
      <c r="B319" s="80"/>
      <c r="C319" s="80"/>
      <c r="D319" s="80"/>
      <c r="E319" s="80"/>
      <c r="F319" s="80"/>
      <c r="G319" s="82"/>
      <c r="H319" s="105">
        <f t="shared" si="4"/>
        <v>1</v>
      </c>
    </row>
    <row r="320" spans="1:8" x14ac:dyDescent="0.25">
      <c r="A320" s="80"/>
      <c r="B320" s="80"/>
      <c r="C320" s="80"/>
      <c r="D320" s="80"/>
      <c r="E320" s="80"/>
      <c r="F320" s="80"/>
      <c r="G320" s="82"/>
      <c r="H320" s="105">
        <f t="shared" si="4"/>
        <v>1</v>
      </c>
    </row>
    <row r="321" spans="1:8" x14ac:dyDescent="0.25">
      <c r="A321" s="80"/>
      <c r="B321" s="80"/>
      <c r="C321" s="80"/>
      <c r="D321" s="80"/>
      <c r="E321" s="80"/>
      <c r="F321" s="80"/>
      <c r="G321" s="82"/>
      <c r="H321" s="105">
        <f t="shared" si="4"/>
        <v>1</v>
      </c>
    </row>
    <row r="322" spans="1:8" x14ac:dyDescent="0.25">
      <c r="A322" s="80"/>
      <c r="B322" s="80"/>
      <c r="C322" s="80"/>
      <c r="D322" s="80"/>
      <c r="E322" s="80"/>
      <c r="F322" s="80"/>
      <c r="G322" s="82"/>
      <c r="H322" s="105">
        <f t="shared" si="4"/>
        <v>1</v>
      </c>
    </row>
    <row r="323" spans="1:8" x14ac:dyDescent="0.25">
      <c r="A323" s="80"/>
      <c r="B323" s="80"/>
      <c r="C323" s="80"/>
      <c r="D323" s="80"/>
      <c r="E323" s="80"/>
      <c r="F323" s="80"/>
      <c r="G323" s="82"/>
      <c r="H323" s="105">
        <f t="shared" ref="H323:H345" si="5">MONTH(A323)</f>
        <v>1</v>
      </c>
    </row>
    <row r="324" spans="1:8" x14ac:dyDescent="0.25">
      <c r="A324" s="80"/>
      <c r="B324" s="80"/>
      <c r="C324" s="80"/>
      <c r="D324" s="80"/>
      <c r="E324" s="80"/>
      <c r="F324" s="80"/>
      <c r="G324" s="82"/>
      <c r="H324" s="105">
        <f t="shared" si="5"/>
        <v>1</v>
      </c>
    </row>
    <row r="325" spans="1:8" x14ac:dyDescent="0.25">
      <c r="A325" s="80"/>
      <c r="B325" s="80"/>
      <c r="C325" s="80"/>
      <c r="D325" s="80"/>
      <c r="E325" s="80"/>
      <c r="F325" s="80"/>
      <c r="G325" s="82"/>
      <c r="H325" s="105">
        <f t="shared" si="5"/>
        <v>1</v>
      </c>
    </row>
    <row r="326" spans="1:8" x14ac:dyDescent="0.25">
      <c r="A326" s="80"/>
      <c r="B326" s="80"/>
      <c r="C326" s="80"/>
      <c r="D326" s="80"/>
      <c r="E326" s="80"/>
      <c r="F326" s="80"/>
      <c r="G326" s="82"/>
      <c r="H326" s="105">
        <f t="shared" si="5"/>
        <v>1</v>
      </c>
    </row>
    <row r="327" spans="1:8" x14ac:dyDescent="0.25">
      <c r="A327" s="80"/>
      <c r="B327" s="80"/>
      <c r="C327" s="80"/>
      <c r="D327" s="80"/>
      <c r="E327" s="80"/>
      <c r="F327" s="80"/>
      <c r="G327" s="82"/>
      <c r="H327" s="105">
        <f t="shared" si="5"/>
        <v>1</v>
      </c>
    </row>
    <row r="328" spans="1:8" x14ac:dyDescent="0.25">
      <c r="A328" s="80"/>
      <c r="B328" s="80"/>
      <c r="C328" s="80"/>
      <c r="D328" s="80"/>
      <c r="E328" s="80"/>
      <c r="F328" s="80"/>
      <c r="G328" s="82"/>
      <c r="H328" s="105">
        <f t="shared" si="5"/>
        <v>1</v>
      </c>
    </row>
    <row r="329" spans="1:8" x14ac:dyDescent="0.25">
      <c r="A329" s="80"/>
      <c r="B329" s="80"/>
      <c r="C329" s="80"/>
      <c r="D329" s="80"/>
      <c r="E329" s="80"/>
      <c r="F329" s="80"/>
      <c r="G329" s="82"/>
      <c r="H329" s="105">
        <f t="shared" si="5"/>
        <v>1</v>
      </c>
    </row>
    <row r="330" spans="1:8" x14ac:dyDescent="0.25">
      <c r="A330" s="80"/>
      <c r="B330" s="80"/>
      <c r="C330" s="80"/>
      <c r="D330" s="80"/>
      <c r="E330" s="80"/>
      <c r="F330" s="80"/>
      <c r="G330" s="82"/>
      <c r="H330" s="105">
        <f t="shared" si="5"/>
        <v>1</v>
      </c>
    </row>
    <row r="331" spans="1:8" x14ac:dyDescent="0.25">
      <c r="A331" s="80"/>
      <c r="B331" s="80"/>
      <c r="C331" s="80"/>
      <c r="D331" s="80"/>
      <c r="E331" s="80"/>
      <c r="F331" s="80"/>
      <c r="G331" s="82"/>
      <c r="H331" s="105">
        <f t="shared" si="5"/>
        <v>1</v>
      </c>
    </row>
    <row r="332" spans="1:8" x14ac:dyDescent="0.25">
      <c r="A332" s="80"/>
      <c r="B332" s="80"/>
      <c r="C332" s="80"/>
      <c r="D332" s="80"/>
      <c r="E332" s="80"/>
      <c r="F332" s="80"/>
      <c r="G332" s="82"/>
      <c r="H332" s="105">
        <f t="shared" si="5"/>
        <v>1</v>
      </c>
    </row>
    <row r="333" spans="1:8" x14ac:dyDescent="0.25">
      <c r="A333" s="80"/>
      <c r="B333" s="80"/>
      <c r="C333" s="80"/>
      <c r="D333" s="80"/>
      <c r="E333" s="80"/>
      <c r="F333" s="80"/>
      <c r="G333" s="82"/>
      <c r="H333" s="105">
        <f t="shared" si="5"/>
        <v>1</v>
      </c>
    </row>
    <row r="334" spans="1:8" x14ac:dyDescent="0.25">
      <c r="A334" s="80"/>
      <c r="B334" s="80"/>
      <c r="C334" s="80"/>
      <c r="D334" s="80"/>
      <c r="E334" s="80"/>
      <c r="F334" s="80"/>
      <c r="G334" s="82"/>
      <c r="H334" s="105">
        <f t="shared" si="5"/>
        <v>1</v>
      </c>
    </row>
    <row r="335" spans="1:8" x14ac:dyDescent="0.25">
      <c r="A335" s="80"/>
      <c r="B335" s="80"/>
      <c r="C335" s="80"/>
      <c r="D335" s="80"/>
      <c r="E335" s="80"/>
      <c r="F335" s="80"/>
      <c r="G335" s="82"/>
      <c r="H335" s="105">
        <f t="shared" si="5"/>
        <v>1</v>
      </c>
    </row>
    <row r="336" spans="1:8" x14ac:dyDescent="0.25">
      <c r="A336" s="80"/>
      <c r="B336" s="80"/>
      <c r="C336" s="80"/>
      <c r="D336" s="80"/>
      <c r="E336" s="80"/>
      <c r="F336" s="80"/>
      <c r="G336" s="82"/>
      <c r="H336" s="105">
        <f t="shared" si="5"/>
        <v>1</v>
      </c>
    </row>
    <row r="337" spans="1:8" x14ac:dyDescent="0.25">
      <c r="A337" s="80"/>
      <c r="B337" s="80"/>
      <c r="C337" s="80"/>
      <c r="D337" s="80"/>
      <c r="E337" s="80"/>
      <c r="F337" s="80"/>
      <c r="G337" s="82"/>
      <c r="H337" s="105">
        <f t="shared" si="5"/>
        <v>1</v>
      </c>
    </row>
    <row r="338" spans="1:8" x14ac:dyDescent="0.25">
      <c r="A338" s="80"/>
      <c r="B338" s="80"/>
      <c r="C338" s="80"/>
      <c r="D338" s="80"/>
      <c r="E338" s="80"/>
      <c r="F338" s="80"/>
      <c r="G338" s="82"/>
      <c r="H338" s="105">
        <f t="shared" si="5"/>
        <v>1</v>
      </c>
    </row>
    <row r="339" spans="1:8" x14ac:dyDescent="0.25">
      <c r="A339" s="80"/>
      <c r="B339" s="80"/>
      <c r="C339" s="80"/>
      <c r="D339" s="80"/>
      <c r="E339" s="80"/>
      <c r="F339" s="80"/>
      <c r="G339" s="82"/>
      <c r="H339" s="105">
        <f t="shared" si="5"/>
        <v>1</v>
      </c>
    </row>
    <row r="340" spans="1:8" x14ac:dyDescent="0.25">
      <c r="A340" s="80"/>
      <c r="B340" s="80"/>
      <c r="C340" s="80"/>
      <c r="D340" s="80"/>
      <c r="E340" s="80"/>
      <c r="F340" s="80"/>
      <c r="G340" s="82"/>
      <c r="H340" s="105">
        <f t="shared" si="5"/>
        <v>1</v>
      </c>
    </row>
    <row r="341" spans="1:8" x14ac:dyDescent="0.25">
      <c r="A341" s="80"/>
      <c r="B341" s="80"/>
      <c r="C341" s="80"/>
      <c r="D341" s="80"/>
      <c r="E341" s="80"/>
      <c r="F341" s="80"/>
      <c r="G341" s="82"/>
      <c r="H341" s="105">
        <f t="shared" si="5"/>
        <v>1</v>
      </c>
    </row>
    <row r="342" spans="1:8" x14ac:dyDescent="0.25">
      <c r="A342" s="80"/>
      <c r="B342" s="80"/>
      <c r="C342" s="80"/>
      <c r="D342" s="80"/>
      <c r="E342" s="80"/>
      <c r="F342" s="80"/>
      <c r="G342" s="82"/>
      <c r="H342" s="105">
        <f t="shared" si="5"/>
        <v>1</v>
      </c>
    </row>
    <row r="343" spans="1:8" x14ac:dyDescent="0.25">
      <c r="A343" s="80"/>
      <c r="B343" s="80"/>
      <c r="C343" s="80"/>
      <c r="D343" s="80"/>
      <c r="E343" s="80"/>
      <c r="F343" s="80"/>
      <c r="G343" s="82"/>
      <c r="H343" s="105">
        <f t="shared" si="5"/>
        <v>1</v>
      </c>
    </row>
    <row r="344" spans="1:8" x14ac:dyDescent="0.25">
      <c r="A344" s="80"/>
      <c r="B344" s="80"/>
      <c r="C344" s="80"/>
      <c r="D344" s="80"/>
      <c r="E344" s="80"/>
      <c r="F344" s="80"/>
      <c r="G344" s="82"/>
      <c r="H344" s="105">
        <f t="shared" si="5"/>
        <v>1</v>
      </c>
    </row>
    <row r="345" spans="1:8" x14ac:dyDescent="0.25">
      <c r="A345" s="80"/>
      <c r="B345" s="80" t="s">
        <v>36</v>
      </c>
      <c r="C345" s="80"/>
      <c r="D345" s="80"/>
      <c r="E345" s="80"/>
      <c r="F345" s="80"/>
      <c r="G345" s="82"/>
      <c r="H345" s="105">
        <f t="shared" si="5"/>
        <v>1</v>
      </c>
    </row>
  </sheetData>
  <sheetProtection algorithmName="SHA-512" hashValue="RZrJ6x487mU4gXcn3LBfC9+tgjfhk6jyGh3T5J4IIO1bC+lfJwFjaoydx8fpq3YB4oMXmREjtxGuO5XXxlPrCg==" saltValue="cJyqknWqs2LWZdBDj9YlbA==" spinCount="100000" sheet="1" objects="1" scenarios="1" insertRows="0" sort="0" autoFilter="0"/>
  <dataValidations count="2">
    <dataValidation type="list" allowBlank="1" showInputMessage="1" showErrorMessage="1" sqref="G2:G328" xr:uid="{BBAF1440-7A4C-449A-9306-4B5DDE379179}">
      <formula1>$S$2:$S$8</formula1>
    </dataValidation>
    <dataValidation type="date" allowBlank="1" showInputMessage="1" showErrorMessage="1" sqref="A2:A466" xr:uid="{CF45575D-1786-4C1A-BED6-A5788E3D2C53}">
      <formula1>42005</formula1>
      <formula2>47848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146F3-7F8F-462D-BA25-11DF1D20B32A}">
  <dimension ref="A1:S345"/>
  <sheetViews>
    <sheetView rightToLeft="1" topLeftCell="A4" workbookViewId="0">
      <selection activeCell="F23" sqref="F23"/>
    </sheetView>
  </sheetViews>
  <sheetFormatPr defaultRowHeight="11.25" x14ac:dyDescent="0.25"/>
  <cols>
    <col min="1" max="3" width="9" style="74"/>
    <col min="4" max="4" width="11.5" style="74" customWidth="1"/>
    <col min="5" max="5" width="9" style="74"/>
    <col min="6" max="6" width="10.625" style="74" customWidth="1"/>
    <col min="7" max="7" width="12.5" style="74" customWidth="1"/>
    <col min="8" max="8" width="9" style="106"/>
    <col min="9" max="18" width="9" style="74"/>
    <col min="19" max="19" width="15.5" style="74" customWidth="1"/>
    <col min="20" max="16384" width="9" style="74"/>
  </cols>
  <sheetData>
    <row r="1" spans="1:19" x14ac:dyDescent="0.25">
      <c r="A1" s="71" t="s">
        <v>24</v>
      </c>
      <c r="B1" s="71" t="s">
        <v>25</v>
      </c>
      <c r="C1" s="71" t="s">
        <v>26</v>
      </c>
      <c r="D1" s="72" t="s">
        <v>27</v>
      </c>
      <c r="E1" s="72" t="s">
        <v>28</v>
      </c>
      <c r="F1" s="72" t="s">
        <v>29</v>
      </c>
      <c r="G1" s="73" t="s">
        <v>39</v>
      </c>
      <c r="H1" s="105" t="s">
        <v>32</v>
      </c>
      <c r="S1" s="75" t="s">
        <v>37</v>
      </c>
    </row>
    <row r="2" spans="1:19" x14ac:dyDescent="0.25">
      <c r="A2" s="78">
        <v>43831</v>
      </c>
      <c r="B2" s="79" t="s">
        <v>33</v>
      </c>
      <c r="C2" s="79">
        <v>150</v>
      </c>
      <c r="D2" s="79" t="s">
        <v>40</v>
      </c>
      <c r="E2" s="79" t="s">
        <v>51</v>
      </c>
      <c r="F2" s="79">
        <v>111</v>
      </c>
      <c r="G2" s="83" t="s">
        <v>5</v>
      </c>
      <c r="H2" s="105">
        <f>MONTH(A2)</f>
        <v>1</v>
      </c>
      <c r="S2" s="76" t="s">
        <v>5</v>
      </c>
    </row>
    <row r="3" spans="1:19" x14ac:dyDescent="0.25">
      <c r="A3" s="81"/>
      <c r="B3" s="80"/>
      <c r="C3" s="80"/>
      <c r="D3" s="80"/>
      <c r="E3" s="80"/>
      <c r="F3" s="80"/>
      <c r="G3" s="82"/>
      <c r="H3" s="105">
        <f t="shared" ref="H3:H66" si="0">MONTH(A3)</f>
        <v>1</v>
      </c>
      <c r="S3" s="76" t="s">
        <v>38</v>
      </c>
    </row>
    <row r="4" spans="1:19" x14ac:dyDescent="0.25">
      <c r="A4" s="80"/>
      <c r="B4" s="80"/>
      <c r="C4" s="80"/>
      <c r="D4" s="80"/>
      <c r="E4" s="80"/>
      <c r="F4" s="80"/>
      <c r="G4" s="82"/>
      <c r="H4" s="105">
        <f t="shared" si="0"/>
        <v>1</v>
      </c>
      <c r="S4" s="76" t="s">
        <v>23</v>
      </c>
    </row>
    <row r="5" spans="1:19" x14ac:dyDescent="0.25">
      <c r="A5" s="81"/>
      <c r="B5" s="80"/>
      <c r="C5" s="80"/>
      <c r="D5" s="80"/>
      <c r="E5" s="80"/>
      <c r="F5" s="80"/>
      <c r="G5" s="82"/>
      <c r="H5" s="105">
        <f t="shared" si="0"/>
        <v>1</v>
      </c>
      <c r="S5" s="76"/>
    </row>
    <row r="6" spans="1:19" x14ac:dyDescent="0.25">
      <c r="A6" s="80"/>
      <c r="B6" s="80"/>
      <c r="C6" s="80"/>
      <c r="D6" s="80"/>
      <c r="E6" s="80"/>
      <c r="F6" s="80"/>
      <c r="G6" s="82"/>
      <c r="H6" s="105">
        <f t="shared" si="0"/>
        <v>1</v>
      </c>
      <c r="S6" s="76"/>
    </row>
    <row r="7" spans="1:19" x14ac:dyDescent="0.25">
      <c r="A7" s="80"/>
      <c r="B7" s="80"/>
      <c r="C7" s="80"/>
      <c r="D7" s="80"/>
      <c r="E7" s="80"/>
      <c r="F7" s="80"/>
      <c r="G7" s="82"/>
      <c r="H7" s="105">
        <f t="shared" si="0"/>
        <v>1</v>
      </c>
      <c r="S7" s="76"/>
    </row>
    <row r="8" spans="1:19" ht="12" thickBot="1" x14ac:dyDescent="0.3">
      <c r="A8" s="80"/>
      <c r="B8" s="80"/>
      <c r="C8" s="80"/>
      <c r="D8" s="80"/>
      <c r="E8" s="80"/>
      <c r="F8" s="80"/>
      <c r="G8" s="82"/>
      <c r="H8" s="105">
        <f t="shared" si="0"/>
        <v>1</v>
      </c>
      <c r="S8" s="77"/>
    </row>
    <row r="9" spans="1:19" x14ac:dyDescent="0.25">
      <c r="A9" s="80"/>
      <c r="B9" s="80"/>
      <c r="C9" s="80"/>
      <c r="D9" s="80"/>
      <c r="E9" s="80"/>
      <c r="F9" s="80"/>
      <c r="G9" s="82"/>
      <c r="H9" s="105">
        <f t="shared" si="0"/>
        <v>1</v>
      </c>
    </row>
    <row r="10" spans="1:19" x14ac:dyDescent="0.25">
      <c r="A10" s="80"/>
      <c r="B10" s="80"/>
      <c r="C10" s="80"/>
      <c r="D10" s="80"/>
      <c r="E10" s="80"/>
      <c r="F10" s="80"/>
      <c r="G10" s="82"/>
      <c r="H10" s="105">
        <f t="shared" si="0"/>
        <v>1</v>
      </c>
    </row>
    <row r="11" spans="1:19" x14ac:dyDescent="0.25">
      <c r="A11" s="80"/>
      <c r="B11" s="80"/>
      <c r="C11" s="80"/>
      <c r="D11" s="80"/>
      <c r="E11" s="80"/>
      <c r="F11" s="80"/>
      <c r="G11" s="82"/>
      <c r="H11" s="105">
        <f t="shared" si="0"/>
        <v>1</v>
      </c>
    </row>
    <row r="12" spans="1:19" x14ac:dyDescent="0.25">
      <c r="A12" s="80"/>
      <c r="B12" s="80"/>
      <c r="C12" s="80"/>
      <c r="D12" s="80"/>
      <c r="E12" s="80"/>
      <c r="F12" s="80"/>
      <c r="G12" s="82"/>
      <c r="H12" s="105">
        <f t="shared" si="0"/>
        <v>1</v>
      </c>
    </row>
    <row r="13" spans="1:19" x14ac:dyDescent="0.25">
      <c r="A13" s="80"/>
      <c r="B13" s="80"/>
      <c r="C13" s="80"/>
      <c r="D13" s="80"/>
      <c r="E13" s="80"/>
      <c r="F13" s="80"/>
      <c r="G13" s="82"/>
      <c r="H13" s="105">
        <f t="shared" si="0"/>
        <v>1</v>
      </c>
    </row>
    <row r="14" spans="1:19" x14ac:dyDescent="0.25">
      <c r="A14" s="80"/>
      <c r="B14" s="80"/>
      <c r="C14" s="80"/>
      <c r="D14" s="80"/>
      <c r="E14" s="80"/>
      <c r="F14" s="80"/>
      <c r="G14" s="82"/>
      <c r="H14" s="105">
        <f t="shared" si="0"/>
        <v>1</v>
      </c>
    </row>
    <row r="15" spans="1:19" x14ac:dyDescent="0.25">
      <c r="A15" s="80"/>
      <c r="B15" s="80"/>
      <c r="C15" s="80"/>
      <c r="D15" s="80"/>
      <c r="E15" s="80"/>
      <c r="F15" s="80"/>
      <c r="G15" s="82"/>
      <c r="H15" s="105">
        <f t="shared" si="0"/>
        <v>1</v>
      </c>
    </row>
    <row r="16" spans="1:19" x14ac:dyDescent="0.25">
      <c r="A16" s="80"/>
      <c r="B16" s="80"/>
      <c r="C16" s="80"/>
      <c r="D16" s="80"/>
      <c r="E16" s="80"/>
      <c r="F16" s="80"/>
      <c r="G16" s="82"/>
      <c r="H16" s="105">
        <f t="shared" si="0"/>
        <v>1</v>
      </c>
    </row>
    <row r="17" spans="1:12" x14ac:dyDescent="0.25">
      <c r="A17" s="80"/>
      <c r="B17" s="80"/>
      <c r="C17" s="80"/>
      <c r="D17" s="80"/>
      <c r="E17" s="80"/>
      <c r="F17" s="80"/>
      <c r="G17" s="82"/>
      <c r="H17" s="105">
        <f t="shared" si="0"/>
        <v>1</v>
      </c>
    </row>
    <row r="18" spans="1:12" x14ac:dyDescent="0.25">
      <c r="A18" s="80"/>
      <c r="B18" s="80"/>
      <c r="C18" s="80"/>
      <c r="D18" s="80"/>
      <c r="E18" s="80"/>
      <c r="F18" s="80"/>
      <c r="G18" s="82"/>
      <c r="H18" s="105">
        <f t="shared" si="0"/>
        <v>1</v>
      </c>
    </row>
    <row r="19" spans="1:12" x14ac:dyDescent="0.25">
      <c r="A19" s="80"/>
      <c r="B19" s="80"/>
      <c r="C19" s="80"/>
      <c r="D19" s="80"/>
      <c r="E19" s="80"/>
      <c r="F19" s="80"/>
      <c r="G19" s="82"/>
      <c r="H19" s="105">
        <f t="shared" si="0"/>
        <v>1</v>
      </c>
    </row>
    <row r="20" spans="1:12" x14ac:dyDescent="0.25">
      <c r="A20" s="80"/>
      <c r="B20" s="80"/>
      <c r="C20" s="80"/>
      <c r="D20" s="80"/>
      <c r="E20" s="80"/>
      <c r="F20" s="80"/>
      <c r="G20" s="82"/>
      <c r="H20" s="105">
        <f t="shared" si="0"/>
        <v>1</v>
      </c>
    </row>
    <row r="21" spans="1:12" x14ac:dyDescent="0.25">
      <c r="A21" s="80"/>
      <c r="B21" s="80"/>
      <c r="C21" s="80"/>
      <c r="D21" s="80"/>
      <c r="E21" s="80"/>
      <c r="F21" s="80"/>
      <c r="G21" s="82"/>
      <c r="H21" s="105">
        <f t="shared" si="0"/>
        <v>1</v>
      </c>
    </row>
    <row r="22" spans="1:12" x14ac:dyDescent="0.25">
      <c r="A22" s="80"/>
      <c r="B22" s="80"/>
      <c r="C22" s="80"/>
      <c r="D22" s="80"/>
      <c r="E22" s="80"/>
      <c r="F22" s="80"/>
      <c r="G22" s="82"/>
      <c r="H22" s="105">
        <f t="shared" si="0"/>
        <v>1</v>
      </c>
    </row>
    <row r="23" spans="1:12" x14ac:dyDescent="0.25">
      <c r="A23" s="80"/>
      <c r="B23" s="80"/>
      <c r="C23" s="80"/>
      <c r="D23" s="80"/>
      <c r="E23" s="80"/>
      <c r="F23" s="80"/>
      <c r="G23" s="82"/>
      <c r="H23" s="105">
        <f t="shared" si="0"/>
        <v>1</v>
      </c>
    </row>
    <row r="24" spans="1:12" x14ac:dyDescent="0.25">
      <c r="A24" s="80"/>
      <c r="B24" s="80"/>
      <c r="C24" s="80"/>
      <c r="D24" s="80"/>
      <c r="E24" s="80"/>
      <c r="F24" s="80"/>
      <c r="G24" s="82"/>
      <c r="H24" s="105">
        <f t="shared" si="0"/>
        <v>1</v>
      </c>
    </row>
    <row r="25" spans="1:12" x14ac:dyDescent="0.25">
      <c r="A25" s="80"/>
      <c r="B25" s="80"/>
      <c r="C25" s="80"/>
      <c r="D25" s="80"/>
      <c r="E25" s="80"/>
      <c r="F25" s="80"/>
      <c r="G25" s="82"/>
      <c r="H25" s="105">
        <f t="shared" si="0"/>
        <v>1</v>
      </c>
    </row>
    <row r="26" spans="1:12" x14ac:dyDescent="0.25">
      <c r="A26" s="80"/>
      <c r="B26" s="80"/>
      <c r="C26" s="80"/>
      <c r="D26" s="80"/>
      <c r="E26" s="80"/>
      <c r="F26" s="80"/>
      <c r="G26" s="82"/>
      <c r="H26" s="105">
        <f t="shared" si="0"/>
        <v>1</v>
      </c>
    </row>
    <row r="27" spans="1:12" x14ac:dyDescent="0.25">
      <c r="A27" s="80"/>
      <c r="B27" s="80"/>
      <c r="C27" s="80"/>
      <c r="D27" s="80"/>
      <c r="E27" s="80"/>
      <c r="F27" s="80"/>
      <c r="G27" s="82"/>
      <c r="H27" s="105">
        <f t="shared" si="0"/>
        <v>1</v>
      </c>
      <c r="L27" s="74">
        <f>4*20</f>
        <v>80</v>
      </c>
    </row>
    <row r="28" spans="1:12" x14ac:dyDescent="0.25">
      <c r="A28" s="80"/>
      <c r="B28" s="80"/>
      <c r="C28" s="80"/>
      <c r="D28" s="80"/>
      <c r="E28" s="80"/>
      <c r="F28" s="80"/>
      <c r="G28" s="82"/>
      <c r="H28" s="105">
        <f t="shared" si="0"/>
        <v>1</v>
      </c>
      <c r="L28" s="74">
        <f>L27*5.5</f>
        <v>440</v>
      </c>
    </row>
    <row r="29" spans="1:12" x14ac:dyDescent="0.25">
      <c r="A29" s="80"/>
      <c r="B29" s="80"/>
      <c r="C29" s="80"/>
      <c r="D29" s="80"/>
      <c r="E29" s="80"/>
      <c r="F29" s="80"/>
      <c r="G29" s="82"/>
      <c r="H29" s="105">
        <f t="shared" si="0"/>
        <v>1</v>
      </c>
    </row>
    <row r="30" spans="1:12" x14ac:dyDescent="0.25">
      <c r="A30" s="80"/>
      <c r="B30" s="80"/>
      <c r="C30" s="80"/>
      <c r="D30" s="80"/>
      <c r="E30" s="80"/>
      <c r="F30" s="80"/>
      <c r="G30" s="82"/>
      <c r="H30" s="105">
        <f t="shared" si="0"/>
        <v>1</v>
      </c>
    </row>
    <row r="31" spans="1:12" x14ac:dyDescent="0.25">
      <c r="A31" s="80"/>
      <c r="B31" s="80"/>
      <c r="C31" s="80"/>
      <c r="D31" s="80"/>
      <c r="E31" s="80"/>
      <c r="F31" s="80"/>
      <c r="G31" s="82"/>
      <c r="H31" s="105">
        <f t="shared" si="0"/>
        <v>1</v>
      </c>
    </row>
    <row r="32" spans="1:12" x14ac:dyDescent="0.25">
      <c r="A32" s="80"/>
      <c r="B32" s="80"/>
      <c r="C32" s="80"/>
      <c r="D32" s="80"/>
      <c r="E32" s="80"/>
      <c r="F32" s="80"/>
      <c r="G32" s="82"/>
      <c r="H32" s="105">
        <f t="shared" si="0"/>
        <v>1</v>
      </c>
    </row>
    <row r="33" spans="1:8" x14ac:dyDescent="0.25">
      <c r="A33" s="80"/>
      <c r="B33" s="80"/>
      <c r="C33" s="80"/>
      <c r="D33" s="80"/>
      <c r="E33" s="80"/>
      <c r="F33" s="80"/>
      <c r="G33" s="82"/>
      <c r="H33" s="105">
        <f t="shared" si="0"/>
        <v>1</v>
      </c>
    </row>
    <row r="34" spans="1:8" x14ac:dyDescent="0.25">
      <c r="A34" s="80"/>
      <c r="B34" s="80"/>
      <c r="C34" s="80"/>
      <c r="D34" s="80"/>
      <c r="E34" s="80"/>
      <c r="F34" s="80"/>
      <c r="G34" s="82"/>
      <c r="H34" s="105">
        <f t="shared" si="0"/>
        <v>1</v>
      </c>
    </row>
    <row r="35" spans="1:8" x14ac:dyDescent="0.25">
      <c r="A35" s="80"/>
      <c r="B35" s="80"/>
      <c r="C35" s="80"/>
      <c r="D35" s="80"/>
      <c r="E35" s="80"/>
      <c r="F35" s="80"/>
      <c r="G35" s="82"/>
      <c r="H35" s="105">
        <f t="shared" si="0"/>
        <v>1</v>
      </c>
    </row>
    <row r="36" spans="1:8" x14ac:dyDescent="0.25">
      <c r="A36" s="80"/>
      <c r="B36" s="80"/>
      <c r="C36" s="80"/>
      <c r="D36" s="80"/>
      <c r="E36" s="80"/>
      <c r="F36" s="80"/>
      <c r="G36" s="82"/>
      <c r="H36" s="105">
        <f t="shared" si="0"/>
        <v>1</v>
      </c>
    </row>
    <row r="37" spans="1:8" x14ac:dyDescent="0.25">
      <c r="A37" s="80"/>
      <c r="B37" s="80"/>
      <c r="C37" s="80"/>
      <c r="D37" s="80"/>
      <c r="E37" s="80"/>
      <c r="F37" s="80"/>
      <c r="G37" s="82"/>
      <c r="H37" s="105">
        <f t="shared" si="0"/>
        <v>1</v>
      </c>
    </row>
    <row r="38" spans="1:8" x14ac:dyDescent="0.25">
      <c r="A38" s="80"/>
      <c r="B38" s="80"/>
      <c r="C38" s="80"/>
      <c r="D38" s="80"/>
      <c r="E38" s="80"/>
      <c r="F38" s="80"/>
      <c r="G38" s="82"/>
      <c r="H38" s="105">
        <f t="shared" si="0"/>
        <v>1</v>
      </c>
    </row>
    <row r="39" spans="1:8" x14ac:dyDescent="0.25">
      <c r="A39" s="80"/>
      <c r="B39" s="80"/>
      <c r="C39" s="80"/>
      <c r="D39" s="80"/>
      <c r="E39" s="80"/>
      <c r="F39" s="80"/>
      <c r="G39" s="82"/>
      <c r="H39" s="105">
        <f t="shared" si="0"/>
        <v>1</v>
      </c>
    </row>
    <row r="40" spans="1:8" x14ac:dyDescent="0.25">
      <c r="A40" s="80"/>
      <c r="B40" s="80"/>
      <c r="C40" s="80"/>
      <c r="D40" s="80"/>
      <c r="E40" s="80"/>
      <c r="F40" s="80"/>
      <c r="G40" s="82"/>
      <c r="H40" s="105">
        <f t="shared" si="0"/>
        <v>1</v>
      </c>
    </row>
    <row r="41" spans="1:8" x14ac:dyDescent="0.25">
      <c r="A41" s="80"/>
      <c r="B41" s="80"/>
      <c r="C41" s="80"/>
      <c r="D41" s="80"/>
      <c r="E41" s="80"/>
      <c r="F41" s="80"/>
      <c r="G41" s="82"/>
      <c r="H41" s="105">
        <f t="shared" si="0"/>
        <v>1</v>
      </c>
    </row>
    <row r="42" spans="1:8" x14ac:dyDescent="0.25">
      <c r="A42" s="80"/>
      <c r="B42" s="80"/>
      <c r="C42" s="80"/>
      <c r="D42" s="80"/>
      <c r="E42" s="80"/>
      <c r="F42" s="80"/>
      <c r="G42" s="82"/>
      <c r="H42" s="105">
        <f t="shared" si="0"/>
        <v>1</v>
      </c>
    </row>
    <row r="43" spans="1:8" x14ac:dyDescent="0.25">
      <c r="A43" s="80"/>
      <c r="B43" s="80"/>
      <c r="C43" s="80"/>
      <c r="D43" s="80"/>
      <c r="E43" s="80"/>
      <c r="F43" s="80"/>
      <c r="G43" s="82"/>
      <c r="H43" s="105">
        <f t="shared" si="0"/>
        <v>1</v>
      </c>
    </row>
    <row r="44" spans="1:8" x14ac:dyDescent="0.25">
      <c r="A44" s="80"/>
      <c r="B44" s="80"/>
      <c r="C44" s="80"/>
      <c r="D44" s="80"/>
      <c r="E44" s="80"/>
      <c r="F44" s="80"/>
      <c r="G44" s="82"/>
      <c r="H44" s="105">
        <f t="shared" si="0"/>
        <v>1</v>
      </c>
    </row>
    <row r="45" spans="1:8" x14ac:dyDescent="0.25">
      <c r="A45" s="80"/>
      <c r="B45" s="80"/>
      <c r="C45" s="80"/>
      <c r="D45" s="80"/>
      <c r="E45" s="80"/>
      <c r="F45" s="80"/>
      <c r="G45" s="82"/>
      <c r="H45" s="105">
        <f t="shared" si="0"/>
        <v>1</v>
      </c>
    </row>
    <row r="46" spans="1:8" x14ac:dyDescent="0.25">
      <c r="A46" s="80"/>
      <c r="B46" s="80"/>
      <c r="C46" s="80"/>
      <c r="D46" s="80"/>
      <c r="E46" s="80"/>
      <c r="F46" s="80"/>
      <c r="G46" s="82"/>
      <c r="H46" s="105">
        <f t="shared" si="0"/>
        <v>1</v>
      </c>
    </row>
    <row r="47" spans="1:8" x14ac:dyDescent="0.25">
      <c r="A47" s="80"/>
      <c r="B47" s="80"/>
      <c r="C47" s="80"/>
      <c r="D47" s="80"/>
      <c r="E47" s="80"/>
      <c r="F47" s="80"/>
      <c r="G47" s="82"/>
      <c r="H47" s="105">
        <f t="shared" si="0"/>
        <v>1</v>
      </c>
    </row>
    <row r="48" spans="1:8" x14ac:dyDescent="0.25">
      <c r="A48" s="80"/>
      <c r="B48" s="80"/>
      <c r="C48" s="80"/>
      <c r="D48" s="80"/>
      <c r="E48" s="80"/>
      <c r="F48" s="80"/>
      <c r="G48" s="82"/>
      <c r="H48" s="105">
        <f t="shared" si="0"/>
        <v>1</v>
      </c>
    </row>
    <row r="49" spans="1:8" x14ac:dyDescent="0.25">
      <c r="A49" s="80"/>
      <c r="B49" s="80"/>
      <c r="C49" s="80"/>
      <c r="D49" s="80"/>
      <c r="E49" s="80"/>
      <c r="F49" s="80"/>
      <c r="G49" s="82"/>
      <c r="H49" s="105">
        <f t="shared" si="0"/>
        <v>1</v>
      </c>
    </row>
    <row r="50" spans="1:8" x14ac:dyDescent="0.25">
      <c r="A50" s="80"/>
      <c r="B50" s="80"/>
      <c r="C50" s="80"/>
      <c r="D50" s="80"/>
      <c r="E50" s="80"/>
      <c r="F50" s="80"/>
      <c r="G50" s="82"/>
      <c r="H50" s="105">
        <f t="shared" si="0"/>
        <v>1</v>
      </c>
    </row>
    <row r="51" spans="1:8" x14ac:dyDescent="0.25">
      <c r="A51" s="80"/>
      <c r="B51" s="80"/>
      <c r="C51" s="80"/>
      <c r="D51" s="80"/>
      <c r="E51" s="80"/>
      <c r="F51" s="80"/>
      <c r="G51" s="82"/>
      <c r="H51" s="105">
        <f t="shared" si="0"/>
        <v>1</v>
      </c>
    </row>
    <row r="52" spans="1:8" x14ac:dyDescent="0.25">
      <c r="A52" s="80"/>
      <c r="B52" s="80"/>
      <c r="C52" s="80"/>
      <c r="D52" s="80"/>
      <c r="E52" s="80"/>
      <c r="F52" s="80"/>
      <c r="G52" s="82"/>
      <c r="H52" s="105">
        <f t="shared" si="0"/>
        <v>1</v>
      </c>
    </row>
    <row r="53" spans="1:8" x14ac:dyDescent="0.25">
      <c r="A53" s="80"/>
      <c r="B53" s="80"/>
      <c r="C53" s="80"/>
      <c r="D53" s="80"/>
      <c r="E53" s="80"/>
      <c r="F53" s="80"/>
      <c r="G53" s="82"/>
      <c r="H53" s="105">
        <f t="shared" si="0"/>
        <v>1</v>
      </c>
    </row>
    <row r="54" spans="1:8" x14ac:dyDescent="0.25">
      <c r="A54" s="80"/>
      <c r="B54" s="80"/>
      <c r="C54" s="80"/>
      <c r="D54" s="80"/>
      <c r="E54" s="80"/>
      <c r="F54" s="80"/>
      <c r="G54" s="82"/>
      <c r="H54" s="105">
        <f t="shared" si="0"/>
        <v>1</v>
      </c>
    </row>
    <row r="55" spans="1:8" x14ac:dyDescent="0.25">
      <c r="A55" s="80"/>
      <c r="B55" s="80"/>
      <c r="C55" s="80"/>
      <c r="D55" s="80"/>
      <c r="E55" s="80"/>
      <c r="F55" s="80"/>
      <c r="G55" s="82"/>
      <c r="H55" s="105">
        <f t="shared" si="0"/>
        <v>1</v>
      </c>
    </row>
    <row r="56" spans="1:8" x14ac:dyDescent="0.25">
      <c r="A56" s="80"/>
      <c r="B56" s="80"/>
      <c r="C56" s="80"/>
      <c r="D56" s="80"/>
      <c r="E56" s="80"/>
      <c r="F56" s="80"/>
      <c r="G56" s="82"/>
      <c r="H56" s="105">
        <f t="shared" si="0"/>
        <v>1</v>
      </c>
    </row>
    <row r="57" spans="1:8" x14ac:dyDescent="0.25">
      <c r="A57" s="80"/>
      <c r="B57" s="80"/>
      <c r="C57" s="80"/>
      <c r="D57" s="80"/>
      <c r="E57" s="80"/>
      <c r="F57" s="80"/>
      <c r="G57" s="82"/>
      <c r="H57" s="105">
        <f t="shared" si="0"/>
        <v>1</v>
      </c>
    </row>
    <row r="58" spans="1:8" x14ac:dyDescent="0.25">
      <c r="A58" s="80"/>
      <c r="B58" s="80"/>
      <c r="C58" s="80"/>
      <c r="D58" s="80"/>
      <c r="E58" s="80"/>
      <c r="F58" s="80"/>
      <c r="G58" s="82"/>
      <c r="H58" s="105">
        <f t="shared" si="0"/>
        <v>1</v>
      </c>
    </row>
    <row r="59" spans="1:8" x14ac:dyDescent="0.25">
      <c r="A59" s="80"/>
      <c r="B59" s="80"/>
      <c r="C59" s="80"/>
      <c r="D59" s="80"/>
      <c r="E59" s="80"/>
      <c r="F59" s="80"/>
      <c r="G59" s="82"/>
      <c r="H59" s="105">
        <f t="shared" si="0"/>
        <v>1</v>
      </c>
    </row>
    <row r="60" spans="1:8" x14ac:dyDescent="0.25">
      <c r="A60" s="80"/>
      <c r="B60" s="80"/>
      <c r="C60" s="80"/>
      <c r="D60" s="80"/>
      <c r="E60" s="80"/>
      <c r="F60" s="80"/>
      <c r="G60" s="82"/>
      <c r="H60" s="105">
        <f t="shared" si="0"/>
        <v>1</v>
      </c>
    </row>
    <row r="61" spans="1:8" x14ac:dyDescent="0.25">
      <c r="A61" s="80"/>
      <c r="B61" s="80"/>
      <c r="C61" s="80"/>
      <c r="D61" s="80"/>
      <c r="E61" s="80"/>
      <c r="F61" s="80"/>
      <c r="G61" s="82"/>
      <c r="H61" s="105">
        <f t="shared" si="0"/>
        <v>1</v>
      </c>
    </row>
    <row r="62" spans="1:8" x14ac:dyDescent="0.25">
      <c r="A62" s="80"/>
      <c r="B62" s="80"/>
      <c r="C62" s="80"/>
      <c r="D62" s="80"/>
      <c r="E62" s="80"/>
      <c r="F62" s="80"/>
      <c r="G62" s="82"/>
      <c r="H62" s="105">
        <f t="shared" si="0"/>
        <v>1</v>
      </c>
    </row>
    <row r="63" spans="1:8" x14ac:dyDescent="0.25">
      <c r="A63" s="80"/>
      <c r="B63" s="80"/>
      <c r="C63" s="80"/>
      <c r="D63" s="80"/>
      <c r="E63" s="80"/>
      <c r="F63" s="80"/>
      <c r="G63" s="82"/>
      <c r="H63" s="105">
        <f t="shared" si="0"/>
        <v>1</v>
      </c>
    </row>
    <row r="64" spans="1:8" x14ac:dyDescent="0.25">
      <c r="A64" s="80"/>
      <c r="B64" s="80"/>
      <c r="C64" s="80"/>
      <c r="D64" s="80"/>
      <c r="E64" s="80"/>
      <c r="F64" s="80"/>
      <c r="G64" s="82"/>
      <c r="H64" s="105">
        <f t="shared" si="0"/>
        <v>1</v>
      </c>
    </row>
    <row r="65" spans="1:8" x14ac:dyDescent="0.25">
      <c r="A65" s="80"/>
      <c r="B65" s="80"/>
      <c r="C65" s="80"/>
      <c r="D65" s="80"/>
      <c r="E65" s="80"/>
      <c r="F65" s="80"/>
      <c r="G65" s="82"/>
      <c r="H65" s="105">
        <f t="shared" si="0"/>
        <v>1</v>
      </c>
    </row>
    <row r="66" spans="1:8" x14ac:dyDescent="0.25">
      <c r="A66" s="80"/>
      <c r="B66" s="80"/>
      <c r="C66" s="80"/>
      <c r="D66" s="80"/>
      <c r="E66" s="80"/>
      <c r="F66" s="80"/>
      <c r="G66" s="82"/>
      <c r="H66" s="105">
        <f t="shared" si="0"/>
        <v>1</v>
      </c>
    </row>
    <row r="67" spans="1:8" x14ac:dyDescent="0.25">
      <c r="A67" s="80"/>
      <c r="B67" s="80"/>
      <c r="C67" s="80"/>
      <c r="D67" s="80"/>
      <c r="E67" s="80"/>
      <c r="F67" s="80"/>
      <c r="G67" s="82"/>
      <c r="H67" s="105">
        <f t="shared" ref="H67:H130" si="1">MONTH(A67)</f>
        <v>1</v>
      </c>
    </row>
    <row r="68" spans="1:8" x14ac:dyDescent="0.25">
      <c r="A68" s="80"/>
      <c r="B68" s="80"/>
      <c r="C68" s="80"/>
      <c r="D68" s="80"/>
      <c r="E68" s="80"/>
      <c r="F68" s="80"/>
      <c r="G68" s="82"/>
      <c r="H68" s="105">
        <f t="shared" si="1"/>
        <v>1</v>
      </c>
    </row>
    <row r="69" spans="1:8" x14ac:dyDescent="0.25">
      <c r="A69" s="80"/>
      <c r="B69" s="80"/>
      <c r="C69" s="80"/>
      <c r="D69" s="80"/>
      <c r="E69" s="80"/>
      <c r="F69" s="80"/>
      <c r="G69" s="82"/>
      <c r="H69" s="105">
        <f t="shared" si="1"/>
        <v>1</v>
      </c>
    </row>
    <row r="70" spans="1:8" x14ac:dyDescent="0.25">
      <c r="A70" s="80"/>
      <c r="B70" s="80"/>
      <c r="C70" s="80"/>
      <c r="D70" s="80"/>
      <c r="E70" s="80"/>
      <c r="F70" s="80"/>
      <c r="G70" s="82"/>
      <c r="H70" s="105">
        <f t="shared" si="1"/>
        <v>1</v>
      </c>
    </row>
    <row r="71" spans="1:8" x14ac:dyDescent="0.25">
      <c r="A71" s="80"/>
      <c r="B71" s="80"/>
      <c r="C71" s="80"/>
      <c r="D71" s="80"/>
      <c r="E71" s="80"/>
      <c r="F71" s="80"/>
      <c r="G71" s="82"/>
      <c r="H71" s="105">
        <f t="shared" si="1"/>
        <v>1</v>
      </c>
    </row>
    <row r="72" spans="1:8" x14ac:dyDescent="0.25">
      <c r="A72" s="80"/>
      <c r="B72" s="80"/>
      <c r="C72" s="80"/>
      <c r="D72" s="80"/>
      <c r="E72" s="80"/>
      <c r="F72" s="80"/>
      <c r="G72" s="82"/>
      <c r="H72" s="105">
        <f t="shared" si="1"/>
        <v>1</v>
      </c>
    </row>
    <row r="73" spans="1:8" x14ac:dyDescent="0.25">
      <c r="A73" s="80"/>
      <c r="B73" s="80"/>
      <c r="C73" s="80"/>
      <c r="D73" s="80"/>
      <c r="E73" s="80"/>
      <c r="F73" s="80"/>
      <c r="G73" s="82"/>
      <c r="H73" s="105">
        <f t="shared" si="1"/>
        <v>1</v>
      </c>
    </row>
    <row r="74" spans="1:8" x14ac:dyDescent="0.25">
      <c r="A74" s="80"/>
      <c r="B74" s="80"/>
      <c r="C74" s="80"/>
      <c r="D74" s="80"/>
      <c r="E74" s="80"/>
      <c r="F74" s="80"/>
      <c r="G74" s="82"/>
      <c r="H74" s="105">
        <f t="shared" si="1"/>
        <v>1</v>
      </c>
    </row>
    <row r="75" spans="1:8" x14ac:dyDescent="0.25">
      <c r="A75" s="80"/>
      <c r="B75" s="80"/>
      <c r="C75" s="80"/>
      <c r="D75" s="80"/>
      <c r="E75" s="80"/>
      <c r="F75" s="80"/>
      <c r="G75" s="82"/>
      <c r="H75" s="105">
        <f t="shared" si="1"/>
        <v>1</v>
      </c>
    </row>
    <row r="76" spans="1:8" x14ac:dyDescent="0.25">
      <c r="A76" s="80"/>
      <c r="B76" s="80"/>
      <c r="C76" s="80"/>
      <c r="D76" s="80"/>
      <c r="E76" s="80"/>
      <c r="F76" s="80"/>
      <c r="G76" s="82"/>
      <c r="H76" s="105">
        <f t="shared" si="1"/>
        <v>1</v>
      </c>
    </row>
    <row r="77" spans="1:8" x14ac:dyDescent="0.25">
      <c r="A77" s="80"/>
      <c r="B77" s="80"/>
      <c r="C77" s="80"/>
      <c r="D77" s="80"/>
      <c r="E77" s="80"/>
      <c r="F77" s="80"/>
      <c r="G77" s="82"/>
      <c r="H77" s="105">
        <f t="shared" si="1"/>
        <v>1</v>
      </c>
    </row>
    <row r="78" spans="1:8" x14ac:dyDescent="0.25">
      <c r="A78" s="80"/>
      <c r="B78" s="80"/>
      <c r="C78" s="80"/>
      <c r="D78" s="80"/>
      <c r="E78" s="80"/>
      <c r="F78" s="80"/>
      <c r="G78" s="82"/>
      <c r="H78" s="105">
        <f t="shared" si="1"/>
        <v>1</v>
      </c>
    </row>
    <row r="79" spans="1:8" x14ac:dyDescent="0.25">
      <c r="A79" s="80"/>
      <c r="B79" s="80"/>
      <c r="C79" s="80"/>
      <c r="D79" s="80"/>
      <c r="E79" s="80"/>
      <c r="F79" s="80"/>
      <c r="G79" s="82"/>
      <c r="H79" s="105">
        <f t="shared" si="1"/>
        <v>1</v>
      </c>
    </row>
    <row r="80" spans="1:8" x14ac:dyDescent="0.25">
      <c r="A80" s="80"/>
      <c r="B80" s="80"/>
      <c r="C80" s="80"/>
      <c r="D80" s="80"/>
      <c r="E80" s="80"/>
      <c r="F80" s="80"/>
      <c r="G80" s="82"/>
      <c r="H80" s="105">
        <f t="shared" si="1"/>
        <v>1</v>
      </c>
    </row>
    <row r="81" spans="1:8" x14ac:dyDescent="0.25">
      <c r="A81" s="80"/>
      <c r="B81" s="80"/>
      <c r="C81" s="80"/>
      <c r="D81" s="80"/>
      <c r="E81" s="80"/>
      <c r="F81" s="80"/>
      <c r="G81" s="82"/>
      <c r="H81" s="105">
        <f t="shared" si="1"/>
        <v>1</v>
      </c>
    </row>
    <row r="82" spans="1:8" x14ac:dyDescent="0.25">
      <c r="A82" s="80"/>
      <c r="B82" s="80"/>
      <c r="C82" s="80"/>
      <c r="D82" s="80"/>
      <c r="E82" s="80"/>
      <c r="F82" s="80"/>
      <c r="G82" s="82"/>
      <c r="H82" s="105">
        <f t="shared" si="1"/>
        <v>1</v>
      </c>
    </row>
    <row r="83" spans="1:8" x14ac:dyDescent="0.25">
      <c r="A83" s="80"/>
      <c r="B83" s="80"/>
      <c r="C83" s="80"/>
      <c r="D83" s="80"/>
      <c r="E83" s="80"/>
      <c r="F83" s="80"/>
      <c r="G83" s="82"/>
      <c r="H83" s="105">
        <f t="shared" si="1"/>
        <v>1</v>
      </c>
    </row>
    <row r="84" spans="1:8" x14ac:dyDescent="0.25">
      <c r="A84" s="80"/>
      <c r="B84" s="80"/>
      <c r="C84" s="80"/>
      <c r="D84" s="80"/>
      <c r="E84" s="80"/>
      <c r="F84" s="80"/>
      <c r="G84" s="82"/>
      <c r="H84" s="105">
        <f t="shared" si="1"/>
        <v>1</v>
      </c>
    </row>
    <row r="85" spans="1:8" x14ac:dyDescent="0.25">
      <c r="A85" s="80"/>
      <c r="B85" s="80"/>
      <c r="C85" s="80"/>
      <c r="D85" s="80"/>
      <c r="E85" s="80"/>
      <c r="F85" s="80"/>
      <c r="G85" s="82"/>
      <c r="H85" s="105">
        <f t="shared" si="1"/>
        <v>1</v>
      </c>
    </row>
    <row r="86" spans="1:8" x14ac:dyDescent="0.25">
      <c r="A86" s="80"/>
      <c r="B86" s="80"/>
      <c r="C86" s="80"/>
      <c r="D86" s="80"/>
      <c r="E86" s="80"/>
      <c r="F86" s="80"/>
      <c r="G86" s="82"/>
      <c r="H86" s="105">
        <f t="shared" si="1"/>
        <v>1</v>
      </c>
    </row>
    <row r="87" spans="1:8" x14ac:dyDescent="0.25">
      <c r="A87" s="80"/>
      <c r="B87" s="80"/>
      <c r="C87" s="80"/>
      <c r="D87" s="80"/>
      <c r="E87" s="80"/>
      <c r="F87" s="80"/>
      <c r="G87" s="82"/>
      <c r="H87" s="105">
        <f t="shared" si="1"/>
        <v>1</v>
      </c>
    </row>
    <row r="88" spans="1:8" x14ac:dyDescent="0.25">
      <c r="A88" s="80"/>
      <c r="B88" s="80"/>
      <c r="C88" s="80"/>
      <c r="D88" s="80"/>
      <c r="E88" s="80"/>
      <c r="F88" s="80"/>
      <c r="G88" s="82"/>
      <c r="H88" s="105">
        <f t="shared" si="1"/>
        <v>1</v>
      </c>
    </row>
    <row r="89" spans="1:8" x14ac:dyDescent="0.25">
      <c r="A89" s="80"/>
      <c r="B89" s="80"/>
      <c r="C89" s="80"/>
      <c r="D89" s="80"/>
      <c r="E89" s="80"/>
      <c r="F89" s="80"/>
      <c r="G89" s="82"/>
      <c r="H89" s="105">
        <f t="shared" si="1"/>
        <v>1</v>
      </c>
    </row>
    <row r="90" spans="1:8" x14ac:dyDescent="0.25">
      <c r="A90" s="80"/>
      <c r="B90" s="80"/>
      <c r="C90" s="80"/>
      <c r="D90" s="80"/>
      <c r="E90" s="80"/>
      <c r="F90" s="80"/>
      <c r="G90" s="82"/>
      <c r="H90" s="105">
        <f t="shared" si="1"/>
        <v>1</v>
      </c>
    </row>
    <row r="91" spans="1:8" x14ac:dyDescent="0.25">
      <c r="A91" s="80"/>
      <c r="B91" s="80"/>
      <c r="C91" s="80"/>
      <c r="D91" s="80"/>
      <c r="E91" s="80"/>
      <c r="F91" s="80"/>
      <c r="G91" s="82"/>
      <c r="H91" s="105">
        <f t="shared" si="1"/>
        <v>1</v>
      </c>
    </row>
    <row r="92" spans="1:8" x14ac:dyDescent="0.25">
      <c r="A92" s="80"/>
      <c r="B92" s="80"/>
      <c r="C92" s="80"/>
      <c r="D92" s="80"/>
      <c r="E92" s="80"/>
      <c r="F92" s="80"/>
      <c r="G92" s="82"/>
      <c r="H92" s="105">
        <f t="shared" si="1"/>
        <v>1</v>
      </c>
    </row>
    <row r="93" spans="1:8" x14ac:dyDescent="0.25">
      <c r="A93" s="80"/>
      <c r="B93" s="80"/>
      <c r="C93" s="80"/>
      <c r="D93" s="80"/>
      <c r="E93" s="80"/>
      <c r="F93" s="80"/>
      <c r="G93" s="82"/>
      <c r="H93" s="105">
        <f t="shared" si="1"/>
        <v>1</v>
      </c>
    </row>
    <row r="94" spans="1:8" x14ac:dyDescent="0.25">
      <c r="A94" s="80"/>
      <c r="B94" s="80"/>
      <c r="C94" s="80"/>
      <c r="D94" s="80"/>
      <c r="E94" s="80"/>
      <c r="F94" s="80"/>
      <c r="G94" s="82"/>
      <c r="H94" s="105">
        <f t="shared" si="1"/>
        <v>1</v>
      </c>
    </row>
    <row r="95" spans="1:8" x14ac:dyDescent="0.25">
      <c r="A95" s="80"/>
      <c r="B95" s="80"/>
      <c r="C95" s="80"/>
      <c r="D95" s="80"/>
      <c r="E95" s="80"/>
      <c r="F95" s="80"/>
      <c r="G95" s="82"/>
      <c r="H95" s="105">
        <f t="shared" si="1"/>
        <v>1</v>
      </c>
    </row>
    <row r="96" spans="1:8" x14ac:dyDescent="0.25">
      <c r="A96" s="80"/>
      <c r="B96" s="80"/>
      <c r="C96" s="80"/>
      <c r="D96" s="80"/>
      <c r="E96" s="80"/>
      <c r="F96" s="80"/>
      <c r="G96" s="82"/>
      <c r="H96" s="105">
        <f t="shared" si="1"/>
        <v>1</v>
      </c>
    </row>
    <row r="97" spans="1:8" x14ac:dyDescent="0.25">
      <c r="A97" s="80"/>
      <c r="B97" s="80"/>
      <c r="C97" s="80"/>
      <c r="D97" s="80"/>
      <c r="E97" s="80"/>
      <c r="F97" s="80"/>
      <c r="G97" s="82"/>
      <c r="H97" s="105">
        <f t="shared" si="1"/>
        <v>1</v>
      </c>
    </row>
    <row r="98" spans="1:8" x14ac:dyDescent="0.25">
      <c r="A98" s="80"/>
      <c r="B98" s="80"/>
      <c r="C98" s="80"/>
      <c r="D98" s="80"/>
      <c r="E98" s="80"/>
      <c r="F98" s="80"/>
      <c r="G98" s="82"/>
      <c r="H98" s="105">
        <f t="shared" si="1"/>
        <v>1</v>
      </c>
    </row>
    <row r="99" spans="1:8" x14ac:dyDescent="0.25">
      <c r="A99" s="80"/>
      <c r="B99" s="80"/>
      <c r="C99" s="80"/>
      <c r="D99" s="80"/>
      <c r="E99" s="80"/>
      <c r="F99" s="80"/>
      <c r="G99" s="82"/>
      <c r="H99" s="105">
        <f t="shared" si="1"/>
        <v>1</v>
      </c>
    </row>
    <row r="100" spans="1:8" x14ac:dyDescent="0.25">
      <c r="A100" s="80"/>
      <c r="B100" s="80"/>
      <c r="C100" s="80"/>
      <c r="D100" s="80"/>
      <c r="E100" s="80"/>
      <c r="F100" s="80"/>
      <c r="G100" s="82"/>
      <c r="H100" s="105">
        <f t="shared" si="1"/>
        <v>1</v>
      </c>
    </row>
    <row r="101" spans="1:8" x14ac:dyDescent="0.25">
      <c r="A101" s="80"/>
      <c r="B101" s="80"/>
      <c r="C101" s="80"/>
      <c r="D101" s="80"/>
      <c r="E101" s="80"/>
      <c r="F101" s="80"/>
      <c r="G101" s="82"/>
      <c r="H101" s="105">
        <f t="shared" si="1"/>
        <v>1</v>
      </c>
    </row>
    <row r="102" spans="1:8" x14ac:dyDescent="0.25">
      <c r="A102" s="80"/>
      <c r="B102" s="80"/>
      <c r="C102" s="80"/>
      <c r="D102" s="80"/>
      <c r="E102" s="80"/>
      <c r="F102" s="80"/>
      <c r="G102" s="82"/>
      <c r="H102" s="105">
        <f t="shared" si="1"/>
        <v>1</v>
      </c>
    </row>
    <row r="103" spans="1:8" x14ac:dyDescent="0.25">
      <c r="A103" s="80"/>
      <c r="B103" s="80"/>
      <c r="C103" s="80"/>
      <c r="D103" s="80"/>
      <c r="E103" s="80"/>
      <c r="F103" s="80"/>
      <c r="G103" s="82"/>
      <c r="H103" s="105">
        <f t="shared" si="1"/>
        <v>1</v>
      </c>
    </row>
    <row r="104" spans="1:8" x14ac:dyDescent="0.25">
      <c r="A104" s="80"/>
      <c r="B104" s="80"/>
      <c r="C104" s="80"/>
      <c r="D104" s="80"/>
      <c r="E104" s="80"/>
      <c r="F104" s="80"/>
      <c r="G104" s="82"/>
      <c r="H104" s="105">
        <f t="shared" si="1"/>
        <v>1</v>
      </c>
    </row>
    <row r="105" spans="1:8" x14ac:dyDescent="0.25">
      <c r="A105" s="80"/>
      <c r="B105" s="80"/>
      <c r="C105" s="80"/>
      <c r="D105" s="80"/>
      <c r="E105" s="80"/>
      <c r="F105" s="80"/>
      <c r="G105" s="82"/>
      <c r="H105" s="105">
        <f t="shared" si="1"/>
        <v>1</v>
      </c>
    </row>
    <row r="106" spans="1:8" x14ac:dyDescent="0.25">
      <c r="A106" s="80"/>
      <c r="B106" s="80"/>
      <c r="C106" s="80"/>
      <c r="D106" s="80"/>
      <c r="E106" s="80"/>
      <c r="F106" s="80"/>
      <c r="G106" s="82"/>
      <c r="H106" s="105">
        <f t="shared" si="1"/>
        <v>1</v>
      </c>
    </row>
    <row r="107" spans="1:8" x14ac:dyDescent="0.25">
      <c r="A107" s="80"/>
      <c r="B107" s="80"/>
      <c r="C107" s="80"/>
      <c r="D107" s="80"/>
      <c r="E107" s="80"/>
      <c r="F107" s="80"/>
      <c r="G107" s="82"/>
      <c r="H107" s="105">
        <f t="shared" si="1"/>
        <v>1</v>
      </c>
    </row>
    <row r="108" spans="1:8" x14ac:dyDescent="0.25">
      <c r="A108" s="80"/>
      <c r="B108" s="80"/>
      <c r="C108" s="80"/>
      <c r="D108" s="80"/>
      <c r="E108" s="80"/>
      <c r="F108" s="80"/>
      <c r="G108" s="82"/>
      <c r="H108" s="105">
        <f t="shared" si="1"/>
        <v>1</v>
      </c>
    </row>
    <row r="109" spans="1:8" x14ac:dyDescent="0.25">
      <c r="A109" s="80"/>
      <c r="B109" s="80"/>
      <c r="C109" s="80"/>
      <c r="D109" s="80"/>
      <c r="E109" s="80"/>
      <c r="F109" s="80"/>
      <c r="G109" s="82"/>
      <c r="H109" s="105">
        <f t="shared" si="1"/>
        <v>1</v>
      </c>
    </row>
    <row r="110" spans="1:8" x14ac:dyDescent="0.25">
      <c r="A110" s="80"/>
      <c r="B110" s="80"/>
      <c r="C110" s="80"/>
      <c r="D110" s="80"/>
      <c r="E110" s="80"/>
      <c r="F110" s="80"/>
      <c r="G110" s="82"/>
      <c r="H110" s="105">
        <f t="shared" si="1"/>
        <v>1</v>
      </c>
    </row>
    <row r="111" spans="1:8" x14ac:dyDescent="0.25">
      <c r="A111" s="80"/>
      <c r="B111" s="80"/>
      <c r="C111" s="80"/>
      <c r="D111" s="80"/>
      <c r="E111" s="80"/>
      <c r="F111" s="80"/>
      <c r="G111" s="82"/>
      <c r="H111" s="105">
        <f t="shared" si="1"/>
        <v>1</v>
      </c>
    </row>
    <row r="112" spans="1:8" x14ac:dyDescent="0.25">
      <c r="A112" s="80"/>
      <c r="B112" s="80"/>
      <c r="C112" s="80"/>
      <c r="D112" s="80"/>
      <c r="E112" s="80"/>
      <c r="F112" s="80"/>
      <c r="G112" s="82"/>
      <c r="H112" s="105">
        <f t="shared" si="1"/>
        <v>1</v>
      </c>
    </row>
    <row r="113" spans="1:8" x14ac:dyDescent="0.25">
      <c r="A113" s="80"/>
      <c r="B113" s="80"/>
      <c r="C113" s="80"/>
      <c r="D113" s="80"/>
      <c r="E113" s="80"/>
      <c r="F113" s="80"/>
      <c r="G113" s="82"/>
      <c r="H113" s="105">
        <f t="shared" si="1"/>
        <v>1</v>
      </c>
    </row>
    <row r="114" spans="1:8" x14ac:dyDescent="0.25">
      <c r="A114" s="80"/>
      <c r="B114" s="80"/>
      <c r="C114" s="80"/>
      <c r="D114" s="80"/>
      <c r="E114" s="80"/>
      <c r="F114" s="80"/>
      <c r="G114" s="82"/>
      <c r="H114" s="105">
        <f t="shared" si="1"/>
        <v>1</v>
      </c>
    </row>
    <row r="115" spans="1:8" x14ac:dyDescent="0.25">
      <c r="A115" s="80"/>
      <c r="B115" s="80"/>
      <c r="C115" s="80"/>
      <c r="D115" s="80"/>
      <c r="E115" s="80"/>
      <c r="F115" s="80"/>
      <c r="G115" s="82"/>
      <c r="H115" s="105">
        <f t="shared" si="1"/>
        <v>1</v>
      </c>
    </row>
    <row r="116" spans="1:8" x14ac:dyDescent="0.25">
      <c r="A116" s="80"/>
      <c r="B116" s="80"/>
      <c r="C116" s="80"/>
      <c r="D116" s="80"/>
      <c r="E116" s="80"/>
      <c r="F116" s="80"/>
      <c r="G116" s="82"/>
      <c r="H116" s="105">
        <f t="shared" si="1"/>
        <v>1</v>
      </c>
    </row>
    <row r="117" spans="1:8" x14ac:dyDescent="0.25">
      <c r="A117" s="80"/>
      <c r="B117" s="80"/>
      <c r="C117" s="80"/>
      <c r="D117" s="80"/>
      <c r="E117" s="80"/>
      <c r="F117" s="80"/>
      <c r="G117" s="82"/>
      <c r="H117" s="105">
        <f t="shared" si="1"/>
        <v>1</v>
      </c>
    </row>
    <row r="118" spans="1:8" x14ac:dyDescent="0.25">
      <c r="A118" s="80"/>
      <c r="B118" s="80"/>
      <c r="C118" s="80"/>
      <c r="D118" s="80"/>
      <c r="E118" s="80"/>
      <c r="F118" s="80"/>
      <c r="G118" s="82"/>
      <c r="H118" s="105">
        <f t="shared" si="1"/>
        <v>1</v>
      </c>
    </row>
    <row r="119" spans="1:8" x14ac:dyDescent="0.25">
      <c r="A119" s="80"/>
      <c r="B119" s="80"/>
      <c r="C119" s="80"/>
      <c r="D119" s="80"/>
      <c r="E119" s="80"/>
      <c r="F119" s="80"/>
      <c r="G119" s="82"/>
      <c r="H119" s="105">
        <f t="shared" si="1"/>
        <v>1</v>
      </c>
    </row>
    <row r="120" spans="1:8" x14ac:dyDescent="0.25">
      <c r="A120" s="80"/>
      <c r="B120" s="80"/>
      <c r="C120" s="80"/>
      <c r="D120" s="80"/>
      <c r="E120" s="80"/>
      <c r="F120" s="80"/>
      <c r="G120" s="82"/>
      <c r="H120" s="105">
        <f t="shared" si="1"/>
        <v>1</v>
      </c>
    </row>
    <row r="121" spans="1:8" x14ac:dyDescent="0.25">
      <c r="A121" s="80"/>
      <c r="B121" s="80"/>
      <c r="C121" s="80"/>
      <c r="D121" s="80"/>
      <c r="E121" s="80"/>
      <c r="F121" s="80"/>
      <c r="G121" s="82"/>
      <c r="H121" s="105">
        <f t="shared" si="1"/>
        <v>1</v>
      </c>
    </row>
    <row r="122" spans="1:8" x14ac:dyDescent="0.25">
      <c r="A122" s="80"/>
      <c r="B122" s="80"/>
      <c r="C122" s="80"/>
      <c r="D122" s="80"/>
      <c r="E122" s="80"/>
      <c r="F122" s="80"/>
      <c r="G122" s="82"/>
      <c r="H122" s="105">
        <f t="shared" si="1"/>
        <v>1</v>
      </c>
    </row>
    <row r="123" spans="1:8" x14ac:dyDescent="0.25">
      <c r="A123" s="80"/>
      <c r="B123" s="80"/>
      <c r="C123" s="80"/>
      <c r="D123" s="80"/>
      <c r="E123" s="80"/>
      <c r="F123" s="80"/>
      <c r="G123" s="82"/>
      <c r="H123" s="105">
        <f t="shared" si="1"/>
        <v>1</v>
      </c>
    </row>
    <row r="124" spans="1:8" x14ac:dyDescent="0.25">
      <c r="A124" s="80"/>
      <c r="B124" s="80"/>
      <c r="C124" s="80"/>
      <c r="D124" s="80"/>
      <c r="E124" s="80"/>
      <c r="F124" s="80"/>
      <c r="G124" s="82"/>
      <c r="H124" s="105">
        <f t="shared" si="1"/>
        <v>1</v>
      </c>
    </row>
    <row r="125" spans="1:8" x14ac:dyDescent="0.25">
      <c r="A125" s="80"/>
      <c r="B125" s="80"/>
      <c r="C125" s="80"/>
      <c r="D125" s="80"/>
      <c r="E125" s="80"/>
      <c r="F125" s="80"/>
      <c r="G125" s="82"/>
      <c r="H125" s="105">
        <f t="shared" si="1"/>
        <v>1</v>
      </c>
    </row>
    <row r="126" spans="1:8" x14ac:dyDescent="0.25">
      <c r="A126" s="80"/>
      <c r="B126" s="80"/>
      <c r="C126" s="80"/>
      <c r="D126" s="80"/>
      <c r="E126" s="80"/>
      <c r="F126" s="80"/>
      <c r="G126" s="82"/>
      <c r="H126" s="105">
        <f t="shared" si="1"/>
        <v>1</v>
      </c>
    </row>
    <row r="127" spans="1:8" x14ac:dyDescent="0.25">
      <c r="A127" s="80"/>
      <c r="B127" s="80"/>
      <c r="C127" s="80"/>
      <c r="D127" s="80"/>
      <c r="E127" s="80"/>
      <c r="F127" s="80"/>
      <c r="G127" s="82"/>
      <c r="H127" s="105">
        <f t="shared" si="1"/>
        <v>1</v>
      </c>
    </row>
    <row r="128" spans="1:8" x14ac:dyDescent="0.25">
      <c r="A128" s="80"/>
      <c r="B128" s="80"/>
      <c r="C128" s="80"/>
      <c r="D128" s="80"/>
      <c r="E128" s="80"/>
      <c r="F128" s="80"/>
      <c r="G128" s="82"/>
      <c r="H128" s="105">
        <f t="shared" si="1"/>
        <v>1</v>
      </c>
    </row>
    <row r="129" spans="1:8" x14ac:dyDescent="0.25">
      <c r="A129" s="80"/>
      <c r="B129" s="80"/>
      <c r="C129" s="80"/>
      <c r="D129" s="80"/>
      <c r="E129" s="80"/>
      <c r="F129" s="80"/>
      <c r="G129" s="82"/>
      <c r="H129" s="105">
        <f t="shared" si="1"/>
        <v>1</v>
      </c>
    </row>
    <row r="130" spans="1:8" x14ac:dyDescent="0.25">
      <c r="A130" s="80"/>
      <c r="B130" s="80"/>
      <c r="C130" s="80"/>
      <c r="D130" s="80"/>
      <c r="E130" s="80"/>
      <c r="F130" s="80"/>
      <c r="G130" s="82"/>
      <c r="H130" s="105">
        <f t="shared" si="1"/>
        <v>1</v>
      </c>
    </row>
    <row r="131" spans="1:8" x14ac:dyDescent="0.25">
      <c r="A131" s="80"/>
      <c r="B131" s="80"/>
      <c r="C131" s="80"/>
      <c r="D131" s="80"/>
      <c r="E131" s="80"/>
      <c r="F131" s="80"/>
      <c r="G131" s="82"/>
      <c r="H131" s="105">
        <f t="shared" ref="H131:H194" si="2">MONTH(A131)</f>
        <v>1</v>
      </c>
    </row>
    <row r="132" spans="1:8" x14ac:dyDescent="0.25">
      <c r="A132" s="80"/>
      <c r="B132" s="80"/>
      <c r="C132" s="80"/>
      <c r="D132" s="80"/>
      <c r="E132" s="80"/>
      <c r="F132" s="80"/>
      <c r="G132" s="82"/>
      <c r="H132" s="105">
        <f t="shared" si="2"/>
        <v>1</v>
      </c>
    </row>
    <row r="133" spans="1:8" x14ac:dyDescent="0.25">
      <c r="A133" s="80"/>
      <c r="B133" s="80"/>
      <c r="C133" s="80"/>
      <c r="D133" s="80"/>
      <c r="E133" s="80"/>
      <c r="F133" s="80"/>
      <c r="G133" s="82"/>
      <c r="H133" s="105">
        <f t="shared" si="2"/>
        <v>1</v>
      </c>
    </row>
    <row r="134" spans="1:8" x14ac:dyDescent="0.25">
      <c r="A134" s="80"/>
      <c r="B134" s="80"/>
      <c r="C134" s="80"/>
      <c r="D134" s="80"/>
      <c r="E134" s="80"/>
      <c r="F134" s="80"/>
      <c r="G134" s="82"/>
      <c r="H134" s="105">
        <f t="shared" si="2"/>
        <v>1</v>
      </c>
    </row>
    <row r="135" spans="1:8" x14ac:dyDescent="0.25">
      <c r="A135" s="80"/>
      <c r="B135" s="80"/>
      <c r="C135" s="80"/>
      <c r="D135" s="80"/>
      <c r="E135" s="80"/>
      <c r="F135" s="80"/>
      <c r="G135" s="82"/>
      <c r="H135" s="105">
        <f t="shared" si="2"/>
        <v>1</v>
      </c>
    </row>
    <row r="136" spans="1:8" x14ac:dyDescent="0.25">
      <c r="A136" s="80"/>
      <c r="B136" s="80"/>
      <c r="C136" s="80"/>
      <c r="D136" s="80"/>
      <c r="E136" s="80"/>
      <c r="F136" s="80"/>
      <c r="G136" s="82"/>
      <c r="H136" s="105">
        <f t="shared" si="2"/>
        <v>1</v>
      </c>
    </row>
    <row r="137" spans="1:8" x14ac:dyDescent="0.25">
      <c r="A137" s="80"/>
      <c r="B137" s="80"/>
      <c r="C137" s="80"/>
      <c r="D137" s="80"/>
      <c r="E137" s="80"/>
      <c r="F137" s="80"/>
      <c r="G137" s="82"/>
      <c r="H137" s="105">
        <f t="shared" si="2"/>
        <v>1</v>
      </c>
    </row>
    <row r="138" spans="1:8" x14ac:dyDescent="0.25">
      <c r="A138" s="80"/>
      <c r="B138" s="80"/>
      <c r="C138" s="80"/>
      <c r="D138" s="80"/>
      <c r="E138" s="80"/>
      <c r="F138" s="80"/>
      <c r="G138" s="82"/>
      <c r="H138" s="105">
        <f t="shared" si="2"/>
        <v>1</v>
      </c>
    </row>
    <row r="139" spans="1:8" x14ac:dyDescent="0.25">
      <c r="A139" s="80"/>
      <c r="B139" s="80"/>
      <c r="C139" s="80"/>
      <c r="D139" s="80"/>
      <c r="E139" s="80"/>
      <c r="F139" s="80"/>
      <c r="G139" s="82"/>
      <c r="H139" s="105">
        <f t="shared" si="2"/>
        <v>1</v>
      </c>
    </row>
    <row r="140" spans="1:8" x14ac:dyDescent="0.25">
      <c r="A140" s="80"/>
      <c r="B140" s="80"/>
      <c r="C140" s="80"/>
      <c r="D140" s="80"/>
      <c r="E140" s="80"/>
      <c r="F140" s="80"/>
      <c r="G140" s="82"/>
      <c r="H140" s="105">
        <f t="shared" si="2"/>
        <v>1</v>
      </c>
    </row>
    <row r="141" spans="1:8" x14ac:dyDescent="0.25">
      <c r="A141" s="80"/>
      <c r="B141" s="80"/>
      <c r="C141" s="80"/>
      <c r="D141" s="80"/>
      <c r="E141" s="80"/>
      <c r="F141" s="80"/>
      <c r="G141" s="82"/>
      <c r="H141" s="105">
        <f t="shared" si="2"/>
        <v>1</v>
      </c>
    </row>
    <row r="142" spans="1:8" x14ac:dyDescent="0.25">
      <c r="A142" s="80"/>
      <c r="B142" s="80"/>
      <c r="C142" s="80"/>
      <c r="D142" s="80"/>
      <c r="E142" s="80"/>
      <c r="F142" s="80"/>
      <c r="G142" s="82"/>
      <c r="H142" s="105">
        <f t="shared" si="2"/>
        <v>1</v>
      </c>
    </row>
    <row r="143" spans="1:8" x14ac:dyDescent="0.25">
      <c r="A143" s="80"/>
      <c r="B143" s="80"/>
      <c r="C143" s="80"/>
      <c r="D143" s="80"/>
      <c r="E143" s="80"/>
      <c r="F143" s="80"/>
      <c r="G143" s="82"/>
      <c r="H143" s="105">
        <f t="shared" si="2"/>
        <v>1</v>
      </c>
    </row>
    <row r="144" spans="1:8" x14ac:dyDescent="0.25">
      <c r="A144" s="80"/>
      <c r="B144" s="80"/>
      <c r="C144" s="80"/>
      <c r="D144" s="80"/>
      <c r="E144" s="80"/>
      <c r="F144" s="80"/>
      <c r="G144" s="82"/>
      <c r="H144" s="105">
        <f t="shared" si="2"/>
        <v>1</v>
      </c>
    </row>
    <row r="145" spans="1:8" x14ac:dyDescent="0.25">
      <c r="A145" s="80"/>
      <c r="B145" s="80"/>
      <c r="C145" s="80"/>
      <c r="D145" s="80"/>
      <c r="E145" s="80"/>
      <c r="F145" s="80"/>
      <c r="G145" s="82"/>
      <c r="H145" s="105">
        <f t="shared" si="2"/>
        <v>1</v>
      </c>
    </row>
    <row r="146" spans="1:8" x14ac:dyDescent="0.25">
      <c r="A146" s="80"/>
      <c r="B146" s="80"/>
      <c r="C146" s="80"/>
      <c r="D146" s="80"/>
      <c r="E146" s="80"/>
      <c r="F146" s="80"/>
      <c r="G146" s="82"/>
      <c r="H146" s="105">
        <f t="shared" si="2"/>
        <v>1</v>
      </c>
    </row>
    <row r="147" spans="1:8" x14ac:dyDescent="0.25">
      <c r="A147" s="80"/>
      <c r="B147" s="80"/>
      <c r="C147" s="80"/>
      <c r="D147" s="80"/>
      <c r="E147" s="80"/>
      <c r="F147" s="80"/>
      <c r="G147" s="82"/>
      <c r="H147" s="105">
        <f t="shared" si="2"/>
        <v>1</v>
      </c>
    </row>
    <row r="148" spans="1:8" x14ac:dyDescent="0.25">
      <c r="A148" s="80"/>
      <c r="B148" s="80"/>
      <c r="C148" s="80"/>
      <c r="D148" s="80"/>
      <c r="E148" s="80"/>
      <c r="F148" s="80"/>
      <c r="G148" s="82"/>
      <c r="H148" s="105">
        <f t="shared" si="2"/>
        <v>1</v>
      </c>
    </row>
    <row r="149" spans="1:8" x14ac:dyDescent="0.25">
      <c r="A149" s="80"/>
      <c r="B149" s="80"/>
      <c r="C149" s="80"/>
      <c r="D149" s="80"/>
      <c r="E149" s="80"/>
      <c r="F149" s="80"/>
      <c r="G149" s="82"/>
      <c r="H149" s="105">
        <f t="shared" si="2"/>
        <v>1</v>
      </c>
    </row>
    <row r="150" spans="1:8" x14ac:dyDescent="0.25">
      <c r="A150" s="80"/>
      <c r="B150" s="80"/>
      <c r="C150" s="80"/>
      <c r="D150" s="80"/>
      <c r="E150" s="80"/>
      <c r="F150" s="80"/>
      <c r="G150" s="82"/>
      <c r="H150" s="105">
        <f t="shared" si="2"/>
        <v>1</v>
      </c>
    </row>
    <row r="151" spans="1:8" x14ac:dyDescent="0.25">
      <c r="A151" s="80"/>
      <c r="B151" s="80"/>
      <c r="C151" s="80"/>
      <c r="D151" s="80"/>
      <c r="E151" s="80"/>
      <c r="F151" s="80"/>
      <c r="G151" s="82"/>
      <c r="H151" s="105">
        <f t="shared" si="2"/>
        <v>1</v>
      </c>
    </row>
    <row r="152" spans="1:8" x14ac:dyDescent="0.25">
      <c r="A152" s="80"/>
      <c r="B152" s="80"/>
      <c r="C152" s="80"/>
      <c r="D152" s="80"/>
      <c r="E152" s="80"/>
      <c r="F152" s="80"/>
      <c r="G152" s="82"/>
      <c r="H152" s="105">
        <f t="shared" si="2"/>
        <v>1</v>
      </c>
    </row>
    <row r="153" spans="1:8" x14ac:dyDescent="0.25">
      <c r="A153" s="80"/>
      <c r="B153" s="80"/>
      <c r="C153" s="80"/>
      <c r="D153" s="80"/>
      <c r="E153" s="80"/>
      <c r="F153" s="80"/>
      <c r="G153" s="82"/>
      <c r="H153" s="105">
        <f t="shared" si="2"/>
        <v>1</v>
      </c>
    </row>
    <row r="154" spans="1:8" x14ac:dyDescent="0.25">
      <c r="A154" s="80"/>
      <c r="B154" s="80"/>
      <c r="C154" s="80"/>
      <c r="D154" s="80"/>
      <c r="E154" s="80"/>
      <c r="F154" s="80"/>
      <c r="G154" s="82"/>
      <c r="H154" s="105">
        <f t="shared" si="2"/>
        <v>1</v>
      </c>
    </row>
    <row r="155" spans="1:8" x14ac:dyDescent="0.25">
      <c r="A155" s="80"/>
      <c r="B155" s="80"/>
      <c r="C155" s="80"/>
      <c r="D155" s="80"/>
      <c r="E155" s="80"/>
      <c r="F155" s="80"/>
      <c r="G155" s="82"/>
      <c r="H155" s="105">
        <f t="shared" si="2"/>
        <v>1</v>
      </c>
    </row>
    <row r="156" spans="1:8" x14ac:dyDescent="0.25">
      <c r="A156" s="80"/>
      <c r="B156" s="80"/>
      <c r="C156" s="80"/>
      <c r="D156" s="80"/>
      <c r="E156" s="80"/>
      <c r="F156" s="80"/>
      <c r="G156" s="82"/>
      <c r="H156" s="105">
        <f t="shared" si="2"/>
        <v>1</v>
      </c>
    </row>
    <row r="157" spans="1:8" x14ac:dyDescent="0.25">
      <c r="A157" s="80"/>
      <c r="B157" s="80"/>
      <c r="C157" s="80"/>
      <c r="D157" s="80"/>
      <c r="E157" s="80"/>
      <c r="F157" s="80"/>
      <c r="G157" s="82"/>
      <c r="H157" s="105">
        <f t="shared" si="2"/>
        <v>1</v>
      </c>
    </row>
    <row r="158" spans="1:8" x14ac:dyDescent="0.25">
      <c r="A158" s="80"/>
      <c r="B158" s="80"/>
      <c r="C158" s="80"/>
      <c r="D158" s="80"/>
      <c r="E158" s="80"/>
      <c r="F158" s="80"/>
      <c r="G158" s="82"/>
      <c r="H158" s="105">
        <f t="shared" si="2"/>
        <v>1</v>
      </c>
    </row>
    <row r="159" spans="1:8" x14ac:dyDescent="0.25">
      <c r="A159" s="80"/>
      <c r="B159" s="80"/>
      <c r="C159" s="80"/>
      <c r="D159" s="80"/>
      <c r="E159" s="80"/>
      <c r="F159" s="80"/>
      <c r="G159" s="82"/>
      <c r="H159" s="105">
        <f t="shared" si="2"/>
        <v>1</v>
      </c>
    </row>
    <row r="160" spans="1:8" x14ac:dyDescent="0.25">
      <c r="A160" s="80"/>
      <c r="B160" s="80"/>
      <c r="C160" s="80"/>
      <c r="D160" s="80"/>
      <c r="E160" s="80"/>
      <c r="F160" s="80"/>
      <c r="G160" s="82"/>
      <c r="H160" s="105">
        <f t="shared" si="2"/>
        <v>1</v>
      </c>
    </row>
    <row r="161" spans="1:8" x14ac:dyDescent="0.25">
      <c r="A161" s="80"/>
      <c r="B161" s="80"/>
      <c r="C161" s="80"/>
      <c r="D161" s="80"/>
      <c r="E161" s="80"/>
      <c r="F161" s="80"/>
      <c r="G161" s="82"/>
      <c r="H161" s="105">
        <f t="shared" si="2"/>
        <v>1</v>
      </c>
    </row>
    <row r="162" spans="1:8" x14ac:dyDescent="0.25">
      <c r="A162" s="80"/>
      <c r="B162" s="80"/>
      <c r="C162" s="80"/>
      <c r="D162" s="80"/>
      <c r="E162" s="80"/>
      <c r="F162" s="80"/>
      <c r="G162" s="82"/>
      <c r="H162" s="105">
        <f t="shared" si="2"/>
        <v>1</v>
      </c>
    </row>
    <row r="163" spans="1:8" x14ac:dyDescent="0.25">
      <c r="A163" s="80"/>
      <c r="B163" s="80"/>
      <c r="C163" s="80"/>
      <c r="D163" s="80"/>
      <c r="E163" s="80"/>
      <c r="F163" s="80"/>
      <c r="G163" s="82"/>
      <c r="H163" s="105">
        <f t="shared" si="2"/>
        <v>1</v>
      </c>
    </row>
    <row r="164" spans="1:8" x14ac:dyDescent="0.25">
      <c r="A164" s="80"/>
      <c r="B164" s="80"/>
      <c r="C164" s="80"/>
      <c r="D164" s="80"/>
      <c r="E164" s="80"/>
      <c r="F164" s="80"/>
      <c r="G164" s="82"/>
      <c r="H164" s="105">
        <f t="shared" si="2"/>
        <v>1</v>
      </c>
    </row>
    <row r="165" spans="1:8" x14ac:dyDescent="0.25">
      <c r="A165" s="80"/>
      <c r="B165" s="80"/>
      <c r="C165" s="80"/>
      <c r="D165" s="80"/>
      <c r="E165" s="80"/>
      <c r="F165" s="80"/>
      <c r="G165" s="82"/>
      <c r="H165" s="105">
        <f t="shared" si="2"/>
        <v>1</v>
      </c>
    </row>
    <row r="166" spans="1:8" x14ac:dyDescent="0.25">
      <c r="A166" s="80"/>
      <c r="B166" s="80"/>
      <c r="C166" s="80"/>
      <c r="D166" s="80"/>
      <c r="E166" s="80"/>
      <c r="F166" s="80"/>
      <c r="G166" s="82"/>
      <c r="H166" s="105">
        <f t="shared" si="2"/>
        <v>1</v>
      </c>
    </row>
    <row r="167" spans="1:8" x14ac:dyDescent="0.25">
      <c r="A167" s="80"/>
      <c r="B167" s="80"/>
      <c r="C167" s="80"/>
      <c r="D167" s="80"/>
      <c r="E167" s="80"/>
      <c r="F167" s="80"/>
      <c r="G167" s="82"/>
      <c r="H167" s="105">
        <f t="shared" si="2"/>
        <v>1</v>
      </c>
    </row>
    <row r="168" spans="1:8" x14ac:dyDescent="0.25">
      <c r="A168" s="80"/>
      <c r="B168" s="80"/>
      <c r="C168" s="80"/>
      <c r="D168" s="80"/>
      <c r="E168" s="80"/>
      <c r="F168" s="80"/>
      <c r="G168" s="82"/>
      <c r="H168" s="105">
        <f t="shared" si="2"/>
        <v>1</v>
      </c>
    </row>
    <row r="169" spans="1:8" x14ac:dyDescent="0.25">
      <c r="A169" s="80"/>
      <c r="B169" s="80"/>
      <c r="C169" s="80"/>
      <c r="D169" s="80"/>
      <c r="E169" s="80"/>
      <c r="F169" s="80"/>
      <c r="G169" s="82"/>
      <c r="H169" s="105">
        <f t="shared" si="2"/>
        <v>1</v>
      </c>
    </row>
    <row r="170" spans="1:8" x14ac:dyDescent="0.25">
      <c r="A170" s="80"/>
      <c r="B170" s="80"/>
      <c r="C170" s="80"/>
      <c r="D170" s="80"/>
      <c r="E170" s="80"/>
      <c r="F170" s="80"/>
      <c r="G170" s="82"/>
      <c r="H170" s="105">
        <f t="shared" si="2"/>
        <v>1</v>
      </c>
    </row>
    <row r="171" spans="1:8" x14ac:dyDescent="0.25">
      <c r="A171" s="80"/>
      <c r="B171" s="80"/>
      <c r="C171" s="80"/>
      <c r="D171" s="80"/>
      <c r="E171" s="80"/>
      <c r="F171" s="80"/>
      <c r="G171" s="82"/>
      <c r="H171" s="105">
        <f t="shared" si="2"/>
        <v>1</v>
      </c>
    </row>
    <row r="172" spans="1:8" x14ac:dyDescent="0.25">
      <c r="A172" s="80"/>
      <c r="B172" s="80"/>
      <c r="C172" s="80"/>
      <c r="D172" s="80"/>
      <c r="E172" s="80"/>
      <c r="F172" s="80"/>
      <c r="G172" s="82"/>
      <c r="H172" s="105">
        <f t="shared" si="2"/>
        <v>1</v>
      </c>
    </row>
    <row r="173" spans="1:8" x14ac:dyDescent="0.25">
      <c r="A173" s="80"/>
      <c r="B173" s="80"/>
      <c r="C173" s="80"/>
      <c r="D173" s="80"/>
      <c r="E173" s="80"/>
      <c r="F173" s="80"/>
      <c r="G173" s="82"/>
      <c r="H173" s="105">
        <f t="shared" si="2"/>
        <v>1</v>
      </c>
    </row>
    <row r="174" spans="1:8" x14ac:dyDescent="0.25">
      <c r="A174" s="80"/>
      <c r="B174" s="80"/>
      <c r="C174" s="80"/>
      <c r="D174" s="80"/>
      <c r="E174" s="80"/>
      <c r="F174" s="80"/>
      <c r="G174" s="82"/>
      <c r="H174" s="105">
        <f t="shared" si="2"/>
        <v>1</v>
      </c>
    </row>
    <row r="175" spans="1:8" x14ac:dyDescent="0.25">
      <c r="A175" s="80"/>
      <c r="B175" s="80"/>
      <c r="C175" s="80"/>
      <c r="D175" s="80"/>
      <c r="E175" s="80"/>
      <c r="F175" s="80"/>
      <c r="G175" s="82"/>
      <c r="H175" s="105">
        <f t="shared" si="2"/>
        <v>1</v>
      </c>
    </row>
    <row r="176" spans="1:8" x14ac:dyDescent="0.25">
      <c r="A176" s="80"/>
      <c r="B176" s="80"/>
      <c r="C176" s="80"/>
      <c r="D176" s="80"/>
      <c r="E176" s="80"/>
      <c r="F176" s="80"/>
      <c r="G176" s="82"/>
      <c r="H176" s="105">
        <f t="shared" si="2"/>
        <v>1</v>
      </c>
    </row>
    <row r="177" spans="1:8" x14ac:dyDescent="0.25">
      <c r="A177" s="80"/>
      <c r="B177" s="80"/>
      <c r="C177" s="80"/>
      <c r="D177" s="80"/>
      <c r="E177" s="80"/>
      <c r="F177" s="80"/>
      <c r="G177" s="82"/>
      <c r="H177" s="105">
        <f t="shared" si="2"/>
        <v>1</v>
      </c>
    </row>
    <row r="178" spans="1:8" x14ac:dyDescent="0.25">
      <c r="A178" s="80"/>
      <c r="B178" s="80"/>
      <c r="C178" s="80"/>
      <c r="D178" s="80"/>
      <c r="E178" s="80"/>
      <c r="F178" s="80"/>
      <c r="G178" s="82"/>
      <c r="H178" s="105">
        <f t="shared" si="2"/>
        <v>1</v>
      </c>
    </row>
    <row r="179" spans="1:8" x14ac:dyDescent="0.25">
      <c r="A179" s="80"/>
      <c r="B179" s="80"/>
      <c r="C179" s="80"/>
      <c r="D179" s="80"/>
      <c r="E179" s="80"/>
      <c r="F179" s="80"/>
      <c r="G179" s="82"/>
      <c r="H179" s="105">
        <f t="shared" si="2"/>
        <v>1</v>
      </c>
    </row>
    <row r="180" spans="1:8" x14ac:dyDescent="0.25">
      <c r="A180" s="80"/>
      <c r="B180" s="80"/>
      <c r="C180" s="80"/>
      <c r="D180" s="80"/>
      <c r="E180" s="80"/>
      <c r="F180" s="80"/>
      <c r="G180" s="82"/>
      <c r="H180" s="105">
        <f t="shared" si="2"/>
        <v>1</v>
      </c>
    </row>
    <row r="181" spans="1:8" x14ac:dyDescent="0.25">
      <c r="A181" s="80"/>
      <c r="B181" s="80"/>
      <c r="C181" s="80"/>
      <c r="D181" s="80"/>
      <c r="E181" s="80"/>
      <c r="F181" s="80"/>
      <c r="G181" s="82"/>
      <c r="H181" s="105">
        <f t="shared" si="2"/>
        <v>1</v>
      </c>
    </row>
    <row r="182" spans="1:8" x14ac:dyDescent="0.25">
      <c r="A182" s="80"/>
      <c r="B182" s="80"/>
      <c r="C182" s="80"/>
      <c r="D182" s="80"/>
      <c r="E182" s="80"/>
      <c r="F182" s="80"/>
      <c r="G182" s="82"/>
      <c r="H182" s="105">
        <f t="shared" si="2"/>
        <v>1</v>
      </c>
    </row>
    <row r="183" spans="1:8" x14ac:dyDescent="0.25">
      <c r="A183" s="80"/>
      <c r="B183" s="80"/>
      <c r="C183" s="80"/>
      <c r="D183" s="80"/>
      <c r="E183" s="80"/>
      <c r="F183" s="80"/>
      <c r="G183" s="82"/>
      <c r="H183" s="105">
        <f t="shared" si="2"/>
        <v>1</v>
      </c>
    </row>
    <row r="184" spans="1:8" x14ac:dyDescent="0.25">
      <c r="A184" s="80"/>
      <c r="B184" s="80"/>
      <c r="C184" s="80"/>
      <c r="D184" s="80"/>
      <c r="E184" s="80"/>
      <c r="F184" s="80"/>
      <c r="G184" s="82"/>
      <c r="H184" s="105">
        <f t="shared" si="2"/>
        <v>1</v>
      </c>
    </row>
    <row r="185" spans="1:8" x14ac:dyDescent="0.25">
      <c r="A185" s="80"/>
      <c r="B185" s="80"/>
      <c r="C185" s="80"/>
      <c r="D185" s="80"/>
      <c r="E185" s="80"/>
      <c r="F185" s="80"/>
      <c r="G185" s="82"/>
      <c r="H185" s="105">
        <f t="shared" si="2"/>
        <v>1</v>
      </c>
    </row>
    <row r="186" spans="1:8" x14ac:dyDescent="0.25">
      <c r="A186" s="80"/>
      <c r="B186" s="80"/>
      <c r="C186" s="80"/>
      <c r="D186" s="80"/>
      <c r="E186" s="80"/>
      <c r="F186" s="80"/>
      <c r="G186" s="82"/>
      <c r="H186" s="105">
        <f t="shared" si="2"/>
        <v>1</v>
      </c>
    </row>
    <row r="187" spans="1:8" x14ac:dyDescent="0.25">
      <c r="A187" s="80"/>
      <c r="B187" s="80"/>
      <c r="C187" s="80"/>
      <c r="D187" s="80"/>
      <c r="E187" s="80"/>
      <c r="F187" s="80"/>
      <c r="G187" s="82"/>
      <c r="H187" s="105">
        <f t="shared" si="2"/>
        <v>1</v>
      </c>
    </row>
    <row r="188" spans="1:8" x14ac:dyDescent="0.25">
      <c r="A188" s="80"/>
      <c r="B188" s="80"/>
      <c r="C188" s="80"/>
      <c r="D188" s="80"/>
      <c r="E188" s="80"/>
      <c r="F188" s="80"/>
      <c r="G188" s="82"/>
      <c r="H188" s="105">
        <f t="shared" si="2"/>
        <v>1</v>
      </c>
    </row>
    <row r="189" spans="1:8" x14ac:dyDescent="0.25">
      <c r="A189" s="80"/>
      <c r="B189" s="80"/>
      <c r="C189" s="80"/>
      <c r="D189" s="80"/>
      <c r="E189" s="80"/>
      <c r="F189" s="80"/>
      <c r="G189" s="82"/>
      <c r="H189" s="105">
        <f t="shared" si="2"/>
        <v>1</v>
      </c>
    </row>
    <row r="190" spans="1:8" x14ac:dyDescent="0.25">
      <c r="A190" s="80"/>
      <c r="B190" s="80"/>
      <c r="C190" s="80"/>
      <c r="D190" s="80"/>
      <c r="E190" s="80"/>
      <c r="F190" s="80"/>
      <c r="G190" s="82"/>
      <c r="H190" s="105">
        <f t="shared" si="2"/>
        <v>1</v>
      </c>
    </row>
    <row r="191" spans="1:8" x14ac:dyDescent="0.25">
      <c r="A191" s="80"/>
      <c r="B191" s="80"/>
      <c r="C191" s="80"/>
      <c r="D191" s="80"/>
      <c r="E191" s="80"/>
      <c r="F191" s="80"/>
      <c r="G191" s="82"/>
      <c r="H191" s="105">
        <f t="shared" si="2"/>
        <v>1</v>
      </c>
    </row>
    <row r="192" spans="1:8" x14ac:dyDescent="0.25">
      <c r="A192" s="80"/>
      <c r="B192" s="80"/>
      <c r="C192" s="80"/>
      <c r="D192" s="80"/>
      <c r="E192" s="80"/>
      <c r="F192" s="80"/>
      <c r="G192" s="82"/>
      <c r="H192" s="105">
        <f t="shared" si="2"/>
        <v>1</v>
      </c>
    </row>
    <row r="193" spans="1:8" x14ac:dyDescent="0.25">
      <c r="A193" s="80"/>
      <c r="B193" s="80"/>
      <c r="C193" s="80"/>
      <c r="D193" s="80"/>
      <c r="E193" s="80"/>
      <c r="F193" s="80"/>
      <c r="G193" s="82"/>
      <c r="H193" s="105">
        <f t="shared" si="2"/>
        <v>1</v>
      </c>
    </row>
    <row r="194" spans="1:8" x14ac:dyDescent="0.25">
      <c r="A194" s="80"/>
      <c r="B194" s="80"/>
      <c r="C194" s="80"/>
      <c r="D194" s="80"/>
      <c r="E194" s="80"/>
      <c r="F194" s="80"/>
      <c r="G194" s="82"/>
      <c r="H194" s="105">
        <f t="shared" si="2"/>
        <v>1</v>
      </c>
    </row>
    <row r="195" spans="1:8" x14ac:dyDescent="0.25">
      <c r="A195" s="80"/>
      <c r="B195" s="80"/>
      <c r="C195" s="80"/>
      <c r="D195" s="80"/>
      <c r="E195" s="80"/>
      <c r="F195" s="80"/>
      <c r="G195" s="82"/>
      <c r="H195" s="105">
        <f t="shared" ref="H195:H258" si="3">MONTH(A195)</f>
        <v>1</v>
      </c>
    </row>
    <row r="196" spans="1:8" x14ac:dyDescent="0.25">
      <c r="A196" s="80"/>
      <c r="B196" s="80"/>
      <c r="C196" s="80"/>
      <c r="D196" s="80"/>
      <c r="E196" s="80"/>
      <c r="F196" s="80"/>
      <c r="G196" s="82"/>
      <c r="H196" s="105">
        <f t="shared" si="3"/>
        <v>1</v>
      </c>
    </row>
    <row r="197" spans="1:8" x14ac:dyDescent="0.25">
      <c r="A197" s="80"/>
      <c r="B197" s="80"/>
      <c r="C197" s="80"/>
      <c r="D197" s="80"/>
      <c r="E197" s="80"/>
      <c r="F197" s="80"/>
      <c r="G197" s="82"/>
      <c r="H197" s="105">
        <f t="shared" si="3"/>
        <v>1</v>
      </c>
    </row>
    <row r="198" spans="1:8" x14ac:dyDescent="0.25">
      <c r="A198" s="80"/>
      <c r="B198" s="80"/>
      <c r="C198" s="80"/>
      <c r="D198" s="80"/>
      <c r="E198" s="80"/>
      <c r="F198" s="80"/>
      <c r="G198" s="82"/>
      <c r="H198" s="105">
        <f t="shared" si="3"/>
        <v>1</v>
      </c>
    </row>
    <row r="199" spans="1:8" x14ac:dyDescent="0.25">
      <c r="A199" s="80"/>
      <c r="B199" s="80"/>
      <c r="C199" s="80"/>
      <c r="D199" s="80"/>
      <c r="E199" s="80"/>
      <c r="F199" s="80"/>
      <c r="G199" s="82"/>
      <c r="H199" s="105">
        <f t="shared" si="3"/>
        <v>1</v>
      </c>
    </row>
    <row r="200" spans="1:8" x14ac:dyDescent="0.25">
      <c r="A200" s="80"/>
      <c r="B200" s="80"/>
      <c r="C200" s="80"/>
      <c r="D200" s="80"/>
      <c r="E200" s="80"/>
      <c r="F200" s="80"/>
      <c r="G200" s="82"/>
      <c r="H200" s="105">
        <f t="shared" si="3"/>
        <v>1</v>
      </c>
    </row>
    <row r="201" spans="1:8" x14ac:dyDescent="0.25">
      <c r="A201" s="80"/>
      <c r="B201" s="80"/>
      <c r="C201" s="80"/>
      <c r="D201" s="80"/>
      <c r="E201" s="80"/>
      <c r="F201" s="80"/>
      <c r="G201" s="82"/>
      <c r="H201" s="105">
        <f t="shared" si="3"/>
        <v>1</v>
      </c>
    </row>
    <row r="202" spans="1:8" x14ac:dyDescent="0.25">
      <c r="A202" s="80"/>
      <c r="B202" s="80"/>
      <c r="C202" s="80"/>
      <c r="D202" s="80"/>
      <c r="E202" s="80"/>
      <c r="F202" s="80"/>
      <c r="G202" s="82"/>
      <c r="H202" s="105">
        <f t="shared" si="3"/>
        <v>1</v>
      </c>
    </row>
    <row r="203" spans="1:8" x14ac:dyDescent="0.25">
      <c r="A203" s="80"/>
      <c r="B203" s="80"/>
      <c r="C203" s="80"/>
      <c r="D203" s="80"/>
      <c r="E203" s="80"/>
      <c r="F203" s="80"/>
      <c r="G203" s="82"/>
      <c r="H203" s="105">
        <f t="shared" si="3"/>
        <v>1</v>
      </c>
    </row>
    <row r="204" spans="1:8" x14ac:dyDescent="0.25">
      <c r="A204" s="80"/>
      <c r="B204" s="80"/>
      <c r="C204" s="80"/>
      <c r="D204" s="80"/>
      <c r="E204" s="80"/>
      <c r="F204" s="80"/>
      <c r="G204" s="82"/>
      <c r="H204" s="105">
        <f t="shared" si="3"/>
        <v>1</v>
      </c>
    </row>
    <row r="205" spans="1:8" x14ac:dyDescent="0.25">
      <c r="A205" s="80"/>
      <c r="B205" s="80"/>
      <c r="C205" s="80"/>
      <c r="D205" s="80"/>
      <c r="E205" s="80"/>
      <c r="F205" s="80"/>
      <c r="G205" s="82"/>
      <c r="H205" s="105">
        <f t="shared" si="3"/>
        <v>1</v>
      </c>
    </row>
    <row r="206" spans="1:8" x14ac:dyDescent="0.25">
      <c r="A206" s="80"/>
      <c r="B206" s="80"/>
      <c r="C206" s="80"/>
      <c r="D206" s="80"/>
      <c r="E206" s="80"/>
      <c r="F206" s="80"/>
      <c r="G206" s="82"/>
      <c r="H206" s="105">
        <f t="shared" si="3"/>
        <v>1</v>
      </c>
    </row>
    <row r="207" spans="1:8" x14ac:dyDescent="0.25">
      <c r="A207" s="80"/>
      <c r="B207" s="80"/>
      <c r="C207" s="80"/>
      <c r="D207" s="80"/>
      <c r="E207" s="80"/>
      <c r="F207" s="80"/>
      <c r="G207" s="82"/>
      <c r="H207" s="105">
        <f t="shared" si="3"/>
        <v>1</v>
      </c>
    </row>
    <row r="208" spans="1:8" x14ac:dyDescent="0.25">
      <c r="A208" s="80"/>
      <c r="B208" s="80"/>
      <c r="C208" s="80"/>
      <c r="D208" s="80"/>
      <c r="E208" s="80"/>
      <c r="F208" s="80"/>
      <c r="G208" s="82"/>
      <c r="H208" s="105">
        <f t="shared" si="3"/>
        <v>1</v>
      </c>
    </row>
    <row r="209" spans="1:8" x14ac:dyDescent="0.25">
      <c r="A209" s="80"/>
      <c r="B209" s="80"/>
      <c r="C209" s="80"/>
      <c r="D209" s="80"/>
      <c r="E209" s="80"/>
      <c r="F209" s="80"/>
      <c r="G209" s="82"/>
      <c r="H209" s="105">
        <f t="shared" si="3"/>
        <v>1</v>
      </c>
    </row>
    <row r="210" spans="1:8" x14ac:dyDescent="0.25">
      <c r="A210" s="80"/>
      <c r="B210" s="80"/>
      <c r="C210" s="80"/>
      <c r="D210" s="80"/>
      <c r="E210" s="80"/>
      <c r="F210" s="80"/>
      <c r="G210" s="82"/>
      <c r="H210" s="105">
        <f t="shared" si="3"/>
        <v>1</v>
      </c>
    </row>
    <row r="211" spans="1:8" x14ac:dyDescent="0.25">
      <c r="A211" s="80"/>
      <c r="B211" s="80"/>
      <c r="C211" s="80"/>
      <c r="D211" s="80"/>
      <c r="E211" s="80"/>
      <c r="F211" s="80"/>
      <c r="G211" s="82"/>
      <c r="H211" s="105">
        <f t="shared" si="3"/>
        <v>1</v>
      </c>
    </row>
    <row r="212" spans="1:8" x14ac:dyDescent="0.25">
      <c r="A212" s="80"/>
      <c r="B212" s="80"/>
      <c r="C212" s="80"/>
      <c r="D212" s="80"/>
      <c r="E212" s="80"/>
      <c r="F212" s="80"/>
      <c r="G212" s="82"/>
      <c r="H212" s="105">
        <f t="shared" si="3"/>
        <v>1</v>
      </c>
    </row>
    <row r="213" spans="1:8" x14ac:dyDescent="0.25">
      <c r="A213" s="80"/>
      <c r="B213" s="80"/>
      <c r="C213" s="80"/>
      <c r="D213" s="80"/>
      <c r="E213" s="80"/>
      <c r="F213" s="80"/>
      <c r="G213" s="82"/>
      <c r="H213" s="105">
        <f t="shared" si="3"/>
        <v>1</v>
      </c>
    </row>
    <row r="214" spans="1:8" x14ac:dyDescent="0.25">
      <c r="A214" s="80"/>
      <c r="B214" s="80"/>
      <c r="C214" s="80"/>
      <c r="D214" s="80"/>
      <c r="E214" s="80"/>
      <c r="F214" s="80"/>
      <c r="G214" s="82"/>
      <c r="H214" s="105">
        <f t="shared" si="3"/>
        <v>1</v>
      </c>
    </row>
    <row r="215" spans="1:8" x14ac:dyDescent="0.25">
      <c r="A215" s="80"/>
      <c r="B215" s="80"/>
      <c r="C215" s="80"/>
      <c r="D215" s="80"/>
      <c r="E215" s="80"/>
      <c r="F215" s="80"/>
      <c r="G215" s="82"/>
      <c r="H215" s="105">
        <f t="shared" si="3"/>
        <v>1</v>
      </c>
    </row>
    <row r="216" spans="1:8" x14ac:dyDescent="0.25">
      <c r="A216" s="80"/>
      <c r="B216" s="80"/>
      <c r="C216" s="80"/>
      <c r="D216" s="80"/>
      <c r="E216" s="80"/>
      <c r="F216" s="80"/>
      <c r="G216" s="82"/>
      <c r="H216" s="105">
        <f t="shared" si="3"/>
        <v>1</v>
      </c>
    </row>
    <row r="217" spans="1:8" x14ac:dyDescent="0.25">
      <c r="A217" s="80"/>
      <c r="B217" s="80"/>
      <c r="C217" s="80"/>
      <c r="D217" s="80"/>
      <c r="E217" s="80"/>
      <c r="F217" s="80"/>
      <c r="G217" s="82"/>
      <c r="H217" s="105">
        <f t="shared" si="3"/>
        <v>1</v>
      </c>
    </row>
    <row r="218" spans="1:8" x14ac:dyDescent="0.25">
      <c r="A218" s="80"/>
      <c r="B218" s="80"/>
      <c r="C218" s="80"/>
      <c r="D218" s="80"/>
      <c r="E218" s="80"/>
      <c r="F218" s="80"/>
      <c r="G218" s="82"/>
      <c r="H218" s="105">
        <f t="shared" si="3"/>
        <v>1</v>
      </c>
    </row>
    <row r="219" spans="1:8" x14ac:dyDescent="0.25">
      <c r="A219" s="80"/>
      <c r="B219" s="80"/>
      <c r="C219" s="80"/>
      <c r="D219" s="80"/>
      <c r="E219" s="80"/>
      <c r="F219" s="80"/>
      <c r="G219" s="82"/>
      <c r="H219" s="105">
        <f t="shared" si="3"/>
        <v>1</v>
      </c>
    </row>
    <row r="220" spans="1:8" x14ac:dyDescent="0.25">
      <c r="A220" s="80"/>
      <c r="B220" s="80"/>
      <c r="C220" s="80"/>
      <c r="D220" s="80"/>
      <c r="E220" s="80"/>
      <c r="F220" s="80"/>
      <c r="G220" s="82"/>
      <c r="H220" s="105">
        <f t="shared" si="3"/>
        <v>1</v>
      </c>
    </row>
    <row r="221" spans="1:8" x14ac:dyDescent="0.25">
      <c r="A221" s="80"/>
      <c r="B221" s="80"/>
      <c r="C221" s="80"/>
      <c r="D221" s="80"/>
      <c r="E221" s="80"/>
      <c r="F221" s="80"/>
      <c r="G221" s="82"/>
      <c r="H221" s="105">
        <f t="shared" si="3"/>
        <v>1</v>
      </c>
    </row>
    <row r="222" spans="1:8" x14ac:dyDescent="0.25">
      <c r="A222" s="80"/>
      <c r="B222" s="80"/>
      <c r="C222" s="80"/>
      <c r="D222" s="80"/>
      <c r="E222" s="80"/>
      <c r="F222" s="80"/>
      <c r="G222" s="82"/>
      <c r="H222" s="105">
        <f t="shared" si="3"/>
        <v>1</v>
      </c>
    </row>
    <row r="223" spans="1:8" x14ac:dyDescent="0.25">
      <c r="A223" s="80"/>
      <c r="B223" s="80"/>
      <c r="C223" s="80"/>
      <c r="D223" s="80"/>
      <c r="E223" s="80"/>
      <c r="F223" s="80"/>
      <c r="G223" s="82"/>
      <c r="H223" s="105">
        <f t="shared" si="3"/>
        <v>1</v>
      </c>
    </row>
    <row r="224" spans="1:8" x14ac:dyDescent="0.25">
      <c r="A224" s="80"/>
      <c r="B224" s="80"/>
      <c r="C224" s="80"/>
      <c r="D224" s="80"/>
      <c r="E224" s="80"/>
      <c r="F224" s="80"/>
      <c r="G224" s="82"/>
      <c r="H224" s="105">
        <f t="shared" si="3"/>
        <v>1</v>
      </c>
    </row>
    <row r="225" spans="1:8" x14ac:dyDescent="0.25">
      <c r="A225" s="80"/>
      <c r="B225" s="80"/>
      <c r="C225" s="80"/>
      <c r="D225" s="80"/>
      <c r="E225" s="80"/>
      <c r="F225" s="80"/>
      <c r="G225" s="82"/>
      <c r="H225" s="105">
        <f t="shared" si="3"/>
        <v>1</v>
      </c>
    </row>
    <row r="226" spans="1:8" x14ac:dyDescent="0.25">
      <c r="A226" s="80"/>
      <c r="B226" s="80"/>
      <c r="C226" s="80"/>
      <c r="D226" s="80"/>
      <c r="E226" s="80"/>
      <c r="F226" s="80"/>
      <c r="G226" s="82"/>
      <c r="H226" s="105">
        <f t="shared" si="3"/>
        <v>1</v>
      </c>
    </row>
    <row r="227" spans="1:8" x14ac:dyDescent="0.25">
      <c r="A227" s="80"/>
      <c r="B227" s="80"/>
      <c r="C227" s="80"/>
      <c r="D227" s="80"/>
      <c r="E227" s="80"/>
      <c r="F227" s="80"/>
      <c r="G227" s="82"/>
      <c r="H227" s="105">
        <f t="shared" si="3"/>
        <v>1</v>
      </c>
    </row>
    <row r="228" spans="1:8" x14ac:dyDescent="0.25">
      <c r="A228" s="80"/>
      <c r="B228" s="80"/>
      <c r="C228" s="80"/>
      <c r="D228" s="80"/>
      <c r="E228" s="80"/>
      <c r="F228" s="80"/>
      <c r="G228" s="82"/>
      <c r="H228" s="105">
        <f t="shared" si="3"/>
        <v>1</v>
      </c>
    </row>
    <row r="229" spans="1:8" x14ac:dyDescent="0.25">
      <c r="A229" s="80"/>
      <c r="B229" s="80"/>
      <c r="C229" s="80"/>
      <c r="D229" s="80"/>
      <c r="E229" s="80"/>
      <c r="F229" s="80"/>
      <c r="G229" s="82"/>
      <c r="H229" s="105">
        <f t="shared" si="3"/>
        <v>1</v>
      </c>
    </row>
    <row r="230" spans="1:8" x14ac:dyDescent="0.25">
      <c r="A230" s="80"/>
      <c r="B230" s="80"/>
      <c r="C230" s="80"/>
      <c r="D230" s="80"/>
      <c r="E230" s="80"/>
      <c r="F230" s="80"/>
      <c r="G230" s="82"/>
      <c r="H230" s="105">
        <f t="shared" si="3"/>
        <v>1</v>
      </c>
    </row>
    <row r="231" spans="1:8" x14ac:dyDescent="0.25">
      <c r="A231" s="80"/>
      <c r="B231" s="80"/>
      <c r="C231" s="80"/>
      <c r="D231" s="80"/>
      <c r="E231" s="80"/>
      <c r="F231" s="80"/>
      <c r="G231" s="82"/>
      <c r="H231" s="105">
        <f t="shared" si="3"/>
        <v>1</v>
      </c>
    </row>
    <row r="232" spans="1:8" x14ac:dyDescent="0.25">
      <c r="A232" s="80"/>
      <c r="B232" s="80"/>
      <c r="C232" s="80"/>
      <c r="D232" s="80"/>
      <c r="E232" s="80"/>
      <c r="F232" s="80"/>
      <c r="G232" s="82"/>
      <c r="H232" s="105">
        <f t="shared" si="3"/>
        <v>1</v>
      </c>
    </row>
    <row r="233" spans="1:8" x14ac:dyDescent="0.25">
      <c r="A233" s="80"/>
      <c r="B233" s="80"/>
      <c r="C233" s="80"/>
      <c r="D233" s="80"/>
      <c r="E233" s="80"/>
      <c r="F233" s="80"/>
      <c r="G233" s="82"/>
      <c r="H233" s="105">
        <f t="shared" si="3"/>
        <v>1</v>
      </c>
    </row>
    <row r="234" spans="1:8" x14ac:dyDescent="0.25">
      <c r="A234" s="80"/>
      <c r="B234" s="80"/>
      <c r="C234" s="80"/>
      <c r="D234" s="80"/>
      <c r="E234" s="80"/>
      <c r="F234" s="80"/>
      <c r="G234" s="82"/>
      <c r="H234" s="105">
        <f t="shared" si="3"/>
        <v>1</v>
      </c>
    </row>
    <row r="235" spans="1:8" x14ac:dyDescent="0.25">
      <c r="A235" s="80"/>
      <c r="B235" s="80"/>
      <c r="C235" s="80"/>
      <c r="D235" s="80"/>
      <c r="E235" s="80"/>
      <c r="F235" s="80"/>
      <c r="G235" s="82"/>
      <c r="H235" s="105">
        <f t="shared" si="3"/>
        <v>1</v>
      </c>
    </row>
    <row r="236" spans="1:8" x14ac:dyDescent="0.25">
      <c r="A236" s="80"/>
      <c r="B236" s="80"/>
      <c r="C236" s="80"/>
      <c r="D236" s="80"/>
      <c r="E236" s="80"/>
      <c r="F236" s="80"/>
      <c r="G236" s="82"/>
      <c r="H236" s="105">
        <f t="shared" si="3"/>
        <v>1</v>
      </c>
    </row>
    <row r="237" spans="1:8" x14ac:dyDescent="0.25">
      <c r="A237" s="80"/>
      <c r="B237" s="80"/>
      <c r="C237" s="80"/>
      <c r="D237" s="80"/>
      <c r="E237" s="80"/>
      <c r="F237" s="80"/>
      <c r="G237" s="82"/>
      <c r="H237" s="105">
        <f t="shared" si="3"/>
        <v>1</v>
      </c>
    </row>
    <row r="238" spans="1:8" x14ac:dyDescent="0.25">
      <c r="A238" s="80"/>
      <c r="B238" s="80"/>
      <c r="C238" s="80"/>
      <c r="D238" s="80"/>
      <c r="E238" s="80"/>
      <c r="F238" s="80"/>
      <c r="G238" s="82"/>
      <c r="H238" s="105">
        <f t="shared" si="3"/>
        <v>1</v>
      </c>
    </row>
    <row r="239" spans="1:8" x14ac:dyDescent="0.25">
      <c r="A239" s="80"/>
      <c r="B239" s="80"/>
      <c r="C239" s="80"/>
      <c r="D239" s="80"/>
      <c r="E239" s="80"/>
      <c r="F239" s="80"/>
      <c r="G239" s="82"/>
      <c r="H239" s="105">
        <f t="shared" si="3"/>
        <v>1</v>
      </c>
    </row>
    <row r="240" spans="1:8" x14ac:dyDescent="0.25">
      <c r="A240" s="80"/>
      <c r="B240" s="80"/>
      <c r="C240" s="80"/>
      <c r="D240" s="80"/>
      <c r="E240" s="80"/>
      <c r="F240" s="80"/>
      <c r="G240" s="82"/>
      <c r="H240" s="105">
        <f t="shared" si="3"/>
        <v>1</v>
      </c>
    </row>
    <row r="241" spans="1:8" x14ac:dyDescent="0.25">
      <c r="A241" s="80"/>
      <c r="B241" s="80"/>
      <c r="C241" s="80"/>
      <c r="D241" s="80"/>
      <c r="E241" s="80"/>
      <c r="F241" s="80"/>
      <c r="G241" s="82"/>
      <c r="H241" s="105">
        <f t="shared" si="3"/>
        <v>1</v>
      </c>
    </row>
    <row r="242" spans="1:8" x14ac:dyDescent="0.25">
      <c r="A242" s="80"/>
      <c r="B242" s="80"/>
      <c r="C242" s="80"/>
      <c r="D242" s="80"/>
      <c r="E242" s="80"/>
      <c r="F242" s="80"/>
      <c r="G242" s="82"/>
      <c r="H242" s="105">
        <f t="shared" si="3"/>
        <v>1</v>
      </c>
    </row>
    <row r="243" spans="1:8" x14ac:dyDescent="0.25">
      <c r="A243" s="80"/>
      <c r="B243" s="80"/>
      <c r="C243" s="80"/>
      <c r="D243" s="80"/>
      <c r="E243" s="80"/>
      <c r="F243" s="80"/>
      <c r="G243" s="82"/>
      <c r="H243" s="105">
        <f t="shared" si="3"/>
        <v>1</v>
      </c>
    </row>
    <row r="244" spans="1:8" x14ac:dyDescent="0.25">
      <c r="A244" s="80"/>
      <c r="B244" s="80"/>
      <c r="C244" s="80"/>
      <c r="D244" s="80"/>
      <c r="E244" s="80"/>
      <c r="F244" s="80"/>
      <c r="G244" s="82"/>
      <c r="H244" s="105">
        <f t="shared" si="3"/>
        <v>1</v>
      </c>
    </row>
    <row r="245" spans="1:8" x14ac:dyDescent="0.25">
      <c r="A245" s="80"/>
      <c r="B245" s="80"/>
      <c r="C245" s="80"/>
      <c r="D245" s="80"/>
      <c r="E245" s="80"/>
      <c r="F245" s="80"/>
      <c r="G245" s="82"/>
      <c r="H245" s="105">
        <f t="shared" si="3"/>
        <v>1</v>
      </c>
    </row>
    <row r="246" spans="1:8" x14ac:dyDescent="0.25">
      <c r="A246" s="80"/>
      <c r="B246" s="80"/>
      <c r="C246" s="80"/>
      <c r="D246" s="80"/>
      <c r="E246" s="80"/>
      <c r="F246" s="80"/>
      <c r="G246" s="82"/>
      <c r="H246" s="105">
        <f t="shared" si="3"/>
        <v>1</v>
      </c>
    </row>
    <row r="247" spans="1:8" x14ac:dyDescent="0.25">
      <c r="A247" s="80"/>
      <c r="B247" s="80"/>
      <c r="C247" s="80"/>
      <c r="D247" s="80"/>
      <c r="E247" s="80"/>
      <c r="F247" s="80"/>
      <c r="G247" s="82"/>
      <c r="H247" s="105">
        <f t="shared" si="3"/>
        <v>1</v>
      </c>
    </row>
    <row r="248" spans="1:8" x14ac:dyDescent="0.25">
      <c r="A248" s="80"/>
      <c r="B248" s="80"/>
      <c r="C248" s="80"/>
      <c r="D248" s="80"/>
      <c r="E248" s="80"/>
      <c r="F248" s="80"/>
      <c r="G248" s="82"/>
      <c r="H248" s="105">
        <f t="shared" si="3"/>
        <v>1</v>
      </c>
    </row>
    <row r="249" spans="1:8" x14ac:dyDescent="0.25">
      <c r="A249" s="80"/>
      <c r="B249" s="80"/>
      <c r="C249" s="80"/>
      <c r="D249" s="80"/>
      <c r="E249" s="80"/>
      <c r="F249" s="80"/>
      <c r="G249" s="82"/>
      <c r="H249" s="105">
        <f t="shared" si="3"/>
        <v>1</v>
      </c>
    </row>
    <row r="250" spans="1:8" x14ac:dyDescent="0.25">
      <c r="A250" s="80"/>
      <c r="B250" s="80"/>
      <c r="C250" s="80"/>
      <c r="D250" s="80"/>
      <c r="E250" s="80"/>
      <c r="F250" s="80"/>
      <c r="G250" s="82"/>
      <c r="H250" s="105">
        <f t="shared" si="3"/>
        <v>1</v>
      </c>
    </row>
    <row r="251" spans="1:8" x14ac:dyDescent="0.25">
      <c r="A251" s="80"/>
      <c r="B251" s="80"/>
      <c r="C251" s="80"/>
      <c r="D251" s="80"/>
      <c r="E251" s="80"/>
      <c r="F251" s="80"/>
      <c r="G251" s="82"/>
      <c r="H251" s="105">
        <f t="shared" si="3"/>
        <v>1</v>
      </c>
    </row>
    <row r="252" spans="1:8" x14ac:dyDescent="0.25">
      <c r="A252" s="80"/>
      <c r="B252" s="80"/>
      <c r="C252" s="80"/>
      <c r="D252" s="80"/>
      <c r="E252" s="80"/>
      <c r="F252" s="80"/>
      <c r="G252" s="82"/>
      <c r="H252" s="105">
        <f t="shared" si="3"/>
        <v>1</v>
      </c>
    </row>
    <row r="253" spans="1:8" x14ac:dyDescent="0.25">
      <c r="A253" s="80"/>
      <c r="B253" s="80"/>
      <c r="C253" s="80"/>
      <c r="D253" s="80"/>
      <c r="E253" s="80"/>
      <c r="F253" s="80"/>
      <c r="G253" s="82"/>
      <c r="H253" s="105">
        <f t="shared" si="3"/>
        <v>1</v>
      </c>
    </row>
    <row r="254" spans="1:8" x14ac:dyDescent="0.25">
      <c r="A254" s="80"/>
      <c r="B254" s="80"/>
      <c r="C254" s="80"/>
      <c r="D254" s="80"/>
      <c r="E254" s="80"/>
      <c r="F254" s="80"/>
      <c r="G254" s="82"/>
      <c r="H254" s="105">
        <f t="shared" si="3"/>
        <v>1</v>
      </c>
    </row>
    <row r="255" spans="1:8" x14ac:dyDescent="0.25">
      <c r="A255" s="80"/>
      <c r="B255" s="80"/>
      <c r="C255" s="80"/>
      <c r="D255" s="80"/>
      <c r="E255" s="80"/>
      <c r="F255" s="80"/>
      <c r="G255" s="82"/>
      <c r="H255" s="105">
        <f t="shared" si="3"/>
        <v>1</v>
      </c>
    </row>
    <row r="256" spans="1:8" x14ac:dyDescent="0.25">
      <c r="A256" s="80"/>
      <c r="B256" s="80"/>
      <c r="C256" s="80"/>
      <c r="D256" s="80"/>
      <c r="E256" s="80"/>
      <c r="F256" s="80"/>
      <c r="G256" s="82"/>
      <c r="H256" s="105">
        <f t="shared" si="3"/>
        <v>1</v>
      </c>
    </row>
    <row r="257" spans="1:8" x14ac:dyDescent="0.25">
      <c r="A257" s="80"/>
      <c r="B257" s="80"/>
      <c r="C257" s="80"/>
      <c r="D257" s="80"/>
      <c r="E257" s="80"/>
      <c r="F257" s="80"/>
      <c r="G257" s="82"/>
      <c r="H257" s="105">
        <f t="shared" si="3"/>
        <v>1</v>
      </c>
    </row>
    <row r="258" spans="1:8" x14ac:dyDescent="0.25">
      <c r="A258" s="80"/>
      <c r="B258" s="80"/>
      <c r="C258" s="80"/>
      <c r="D258" s="80"/>
      <c r="E258" s="80"/>
      <c r="F258" s="80"/>
      <c r="G258" s="82"/>
      <c r="H258" s="105">
        <f t="shared" si="3"/>
        <v>1</v>
      </c>
    </row>
    <row r="259" spans="1:8" x14ac:dyDescent="0.25">
      <c r="A259" s="80"/>
      <c r="B259" s="80"/>
      <c r="C259" s="80"/>
      <c r="D259" s="80"/>
      <c r="E259" s="80"/>
      <c r="F259" s="80"/>
      <c r="G259" s="82"/>
      <c r="H259" s="105">
        <f t="shared" ref="H259:H322" si="4">MONTH(A259)</f>
        <v>1</v>
      </c>
    </row>
    <row r="260" spans="1:8" x14ac:dyDescent="0.25">
      <c r="A260" s="80"/>
      <c r="B260" s="80"/>
      <c r="C260" s="80"/>
      <c r="D260" s="80"/>
      <c r="E260" s="80"/>
      <c r="F260" s="80"/>
      <c r="G260" s="82"/>
      <c r="H260" s="105">
        <f t="shared" si="4"/>
        <v>1</v>
      </c>
    </row>
    <row r="261" spans="1:8" x14ac:dyDescent="0.25">
      <c r="A261" s="80"/>
      <c r="B261" s="80"/>
      <c r="C261" s="80"/>
      <c r="D261" s="80"/>
      <c r="E261" s="80"/>
      <c r="F261" s="80"/>
      <c r="G261" s="82"/>
      <c r="H261" s="105">
        <f t="shared" si="4"/>
        <v>1</v>
      </c>
    </row>
    <row r="262" spans="1:8" x14ac:dyDescent="0.25">
      <c r="A262" s="80"/>
      <c r="B262" s="80"/>
      <c r="C262" s="80"/>
      <c r="D262" s="80"/>
      <c r="E262" s="80"/>
      <c r="F262" s="80"/>
      <c r="G262" s="82"/>
      <c r="H262" s="105">
        <f t="shared" si="4"/>
        <v>1</v>
      </c>
    </row>
    <row r="263" spans="1:8" x14ac:dyDescent="0.25">
      <c r="A263" s="80"/>
      <c r="B263" s="80"/>
      <c r="C263" s="80"/>
      <c r="D263" s="80"/>
      <c r="E263" s="80"/>
      <c r="F263" s="80"/>
      <c r="G263" s="82"/>
      <c r="H263" s="105">
        <f t="shared" si="4"/>
        <v>1</v>
      </c>
    </row>
    <row r="264" spans="1:8" x14ac:dyDescent="0.25">
      <c r="A264" s="80"/>
      <c r="B264" s="80"/>
      <c r="C264" s="80"/>
      <c r="D264" s="80"/>
      <c r="E264" s="80"/>
      <c r="F264" s="80"/>
      <c r="G264" s="82"/>
      <c r="H264" s="105">
        <f t="shared" si="4"/>
        <v>1</v>
      </c>
    </row>
    <row r="265" spans="1:8" x14ac:dyDescent="0.25">
      <c r="A265" s="80"/>
      <c r="B265" s="80"/>
      <c r="C265" s="80"/>
      <c r="D265" s="80"/>
      <c r="E265" s="80"/>
      <c r="F265" s="80"/>
      <c r="G265" s="82"/>
      <c r="H265" s="105">
        <f t="shared" si="4"/>
        <v>1</v>
      </c>
    </row>
    <row r="266" spans="1:8" x14ac:dyDescent="0.25">
      <c r="A266" s="80"/>
      <c r="B266" s="80"/>
      <c r="C266" s="80"/>
      <c r="D266" s="80"/>
      <c r="E266" s="80"/>
      <c r="F266" s="80"/>
      <c r="G266" s="82"/>
      <c r="H266" s="105">
        <f t="shared" si="4"/>
        <v>1</v>
      </c>
    </row>
    <row r="267" spans="1:8" x14ac:dyDescent="0.25">
      <c r="A267" s="80"/>
      <c r="B267" s="80"/>
      <c r="C267" s="80"/>
      <c r="D267" s="80"/>
      <c r="E267" s="80"/>
      <c r="F267" s="80"/>
      <c r="G267" s="82"/>
      <c r="H267" s="105">
        <f t="shared" si="4"/>
        <v>1</v>
      </c>
    </row>
    <row r="268" spans="1:8" x14ac:dyDescent="0.25">
      <c r="A268" s="80"/>
      <c r="B268" s="80"/>
      <c r="C268" s="80"/>
      <c r="D268" s="80"/>
      <c r="E268" s="80"/>
      <c r="F268" s="80"/>
      <c r="G268" s="82"/>
      <c r="H268" s="105">
        <f t="shared" si="4"/>
        <v>1</v>
      </c>
    </row>
    <row r="269" spans="1:8" x14ac:dyDescent="0.25">
      <c r="A269" s="80"/>
      <c r="B269" s="80"/>
      <c r="C269" s="80"/>
      <c r="D269" s="80"/>
      <c r="E269" s="80"/>
      <c r="F269" s="80"/>
      <c r="G269" s="82"/>
      <c r="H269" s="105">
        <f t="shared" si="4"/>
        <v>1</v>
      </c>
    </row>
    <row r="270" spans="1:8" x14ac:dyDescent="0.25">
      <c r="A270" s="80"/>
      <c r="B270" s="80"/>
      <c r="C270" s="80"/>
      <c r="D270" s="80"/>
      <c r="E270" s="80"/>
      <c r="F270" s="80"/>
      <c r="G270" s="82"/>
      <c r="H270" s="105">
        <f t="shared" si="4"/>
        <v>1</v>
      </c>
    </row>
    <row r="271" spans="1:8" x14ac:dyDescent="0.25">
      <c r="A271" s="80"/>
      <c r="B271" s="80"/>
      <c r="C271" s="80"/>
      <c r="D271" s="80"/>
      <c r="E271" s="80"/>
      <c r="F271" s="80"/>
      <c r="G271" s="82"/>
      <c r="H271" s="105">
        <f t="shared" si="4"/>
        <v>1</v>
      </c>
    </row>
    <row r="272" spans="1:8" x14ac:dyDescent="0.25">
      <c r="A272" s="80"/>
      <c r="B272" s="80"/>
      <c r="C272" s="80"/>
      <c r="D272" s="80"/>
      <c r="E272" s="80"/>
      <c r="F272" s="80"/>
      <c r="G272" s="82"/>
      <c r="H272" s="105">
        <f t="shared" si="4"/>
        <v>1</v>
      </c>
    </row>
    <row r="273" spans="1:8" x14ac:dyDescent="0.25">
      <c r="A273" s="80"/>
      <c r="B273" s="80"/>
      <c r="C273" s="80"/>
      <c r="D273" s="80"/>
      <c r="E273" s="80"/>
      <c r="F273" s="80"/>
      <c r="G273" s="82"/>
      <c r="H273" s="105">
        <f t="shared" si="4"/>
        <v>1</v>
      </c>
    </row>
    <row r="274" spans="1:8" x14ac:dyDescent="0.25">
      <c r="A274" s="80"/>
      <c r="B274" s="80"/>
      <c r="C274" s="80"/>
      <c r="D274" s="80"/>
      <c r="E274" s="80"/>
      <c r="F274" s="80"/>
      <c r="G274" s="82"/>
      <c r="H274" s="105">
        <f t="shared" si="4"/>
        <v>1</v>
      </c>
    </row>
    <row r="275" spans="1:8" x14ac:dyDescent="0.25">
      <c r="A275" s="80"/>
      <c r="B275" s="80"/>
      <c r="C275" s="80"/>
      <c r="D275" s="80"/>
      <c r="E275" s="80"/>
      <c r="F275" s="80"/>
      <c r="G275" s="82"/>
      <c r="H275" s="105">
        <f t="shared" si="4"/>
        <v>1</v>
      </c>
    </row>
    <row r="276" spans="1:8" x14ac:dyDescent="0.25">
      <c r="A276" s="80"/>
      <c r="B276" s="80"/>
      <c r="C276" s="80"/>
      <c r="D276" s="80"/>
      <c r="E276" s="80"/>
      <c r="F276" s="80"/>
      <c r="G276" s="82"/>
      <c r="H276" s="105">
        <f t="shared" si="4"/>
        <v>1</v>
      </c>
    </row>
    <row r="277" spans="1:8" x14ac:dyDescent="0.25">
      <c r="A277" s="80"/>
      <c r="B277" s="80"/>
      <c r="C277" s="80"/>
      <c r="D277" s="80"/>
      <c r="E277" s="80"/>
      <c r="F277" s="80"/>
      <c r="G277" s="82"/>
      <c r="H277" s="105">
        <f t="shared" si="4"/>
        <v>1</v>
      </c>
    </row>
    <row r="278" spans="1:8" x14ac:dyDescent="0.25">
      <c r="A278" s="80"/>
      <c r="B278" s="80"/>
      <c r="C278" s="80"/>
      <c r="D278" s="80"/>
      <c r="E278" s="80"/>
      <c r="F278" s="80"/>
      <c r="G278" s="82"/>
      <c r="H278" s="105">
        <f t="shared" si="4"/>
        <v>1</v>
      </c>
    </row>
    <row r="279" spans="1:8" x14ac:dyDescent="0.25">
      <c r="A279" s="80"/>
      <c r="B279" s="80"/>
      <c r="C279" s="80"/>
      <c r="D279" s="80"/>
      <c r="E279" s="80"/>
      <c r="F279" s="80"/>
      <c r="G279" s="82"/>
      <c r="H279" s="105">
        <f t="shared" si="4"/>
        <v>1</v>
      </c>
    </row>
    <row r="280" spans="1:8" x14ac:dyDescent="0.25">
      <c r="A280" s="80"/>
      <c r="B280" s="80"/>
      <c r="C280" s="80"/>
      <c r="D280" s="80"/>
      <c r="E280" s="80"/>
      <c r="F280" s="80"/>
      <c r="G280" s="82"/>
      <c r="H280" s="105">
        <f t="shared" si="4"/>
        <v>1</v>
      </c>
    </row>
    <row r="281" spans="1:8" x14ac:dyDescent="0.25">
      <c r="A281" s="80"/>
      <c r="B281" s="80"/>
      <c r="C281" s="80"/>
      <c r="D281" s="80"/>
      <c r="E281" s="80"/>
      <c r="F281" s="80"/>
      <c r="G281" s="82"/>
      <c r="H281" s="105">
        <f t="shared" si="4"/>
        <v>1</v>
      </c>
    </row>
    <row r="282" spans="1:8" x14ac:dyDescent="0.25">
      <c r="A282" s="80"/>
      <c r="B282" s="80"/>
      <c r="C282" s="80"/>
      <c r="D282" s="80"/>
      <c r="E282" s="80"/>
      <c r="F282" s="80"/>
      <c r="G282" s="82"/>
      <c r="H282" s="105">
        <f t="shared" si="4"/>
        <v>1</v>
      </c>
    </row>
    <row r="283" spans="1:8" x14ac:dyDescent="0.25">
      <c r="A283" s="80"/>
      <c r="B283" s="80"/>
      <c r="C283" s="80"/>
      <c r="D283" s="80"/>
      <c r="E283" s="80"/>
      <c r="F283" s="80"/>
      <c r="G283" s="82"/>
      <c r="H283" s="105">
        <f t="shared" si="4"/>
        <v>1</v>
      </c>
    </row>
    <row r="284" spans="1:8" x14ac:dyDescent="0.25">
      <c r="A284" s="80"/>
      <c r="B284" s="80"/>
      <c r="C284" s="80"/>
      <c r="D284" s="80"/>
      <c r="E284" s="80"/>
      <c r="F284" s="80"/>
      <c r="G284" s="82"/>
      <c r="H284" s="105">
        <f t="shared" si="4"/>
        <v>1</v>
      </c>
    </row>
    <row r="285" spans="1:8" x14ac:dyDescent="0.25">
      <c r="A285" s="80"/>
      <c r="B285" s="80"/>
      <c r="C285" s="80"/>
      <c r="D285" s="80"/>
      <c r="E285" s="80"/>
      <c r="F285" s="80"/>
      <c r="G285" s="82"/>
      <c r="H285" s="105">
        <f t="shared" si="4"/>
        <v>1</v>
      </c>
    </row>
    <row r="286" spans="1:8" x14ac:dyDescent="0.25">
      <c r="A286" s="80"/>
      <c r="B286" s="80"/>
      <c r="C286" s="80"/>
      <c r="D286" s="80"/>
      <c r="E286" s="80"/>
      <c r="F286" s="80"/>
      <c r="G286" s="82"/>
      <c r="H286" s="105">
        <f t="shared" si="4"/>
        <v>1</v>
      </c>
    </row>
    <row r="287" spans="1:8" x14ac:dyDescent="0.25">
      <c r="A287" s="80"/>
      <c r="B287" s="80"/>
      <c r="C287" s="80"/>
      <c r="D287" s="80"/>
      <c r="E287" s="80"/>
      <c r="F287" s="80"/>
      <c r="G287" s="82"/>
      <c r="H287" s="105">
        <f t="shared" si="4"/>
        <v>1</v>
      </c>
    </row>
    <row r="288" spans="1:8" x14ac:dyDescent="0.25">
      <c r="A288" s="80"/>
      <c r="B288" s="80"/>
      <c r="C288" s="80"/>
      <c r="D288" s="80"/>
      <c r="E288" s="80"/>
      <c r="F288" s="80"/>
      <c r="G288" s="82"/>
      <c r="H288" s="105">
        <f t="shared" si="4"/>
        <v>1</v>
      </c>
    </row>
    <row r="289" spans="1:8" x14ac:dyDescent="0.25">
      <c r="A289" s="80"/>
      <c r="B289" s="80"/>
      <c r="C289" s="80"/>
      <c r="D289" s="80"/>
      <c r="E289" s="80"/>
      <c r="F289" s="80"/>
      <c r="G289" s="82"/>
      <c r="H289" s="105">
        <f t="shared" si="4"/>
        <v>1</v>
      </c>
    </row>
    <row r="290" spans="1:8" x14ac:dyDescent="0.25">
      <c r="A290" s="80"/>
      <c r="B290" s="80"/>
      <c r="C290" s="80"/>
      <c r="D290" s="80"/>
      <c r="E290" s="80"/>
      <c r="F290" s="80"/>
      <c r="G290" s="82"/>
      <c r="H290" s="105">
        <f t="shared" si="4"/>
        <v>1</v>
      </c>
    </row>
    <row r="291" spans="1:8" x14ac:dyDescent="0.25">
      <c r="A291" s="80"/>
      <c r="B291" s="80"/>
      <c r="C291" s="80"/>
      <c r="D291" s="80"/>
      <c r="E291" s="80"/>
      <c r="F291" s="80"/>
      <c r="G291" s="82"/>
      <c r="H291" s="105">
        <f t="shared" si="4"/>
        <v>1</v>
      </c>
    </row>
    <row r="292" spans="1:8" x14ac:dyDescent="0.25">
      <c r="A292" s="80"/>
      <c r="B292" s="80"/>
      <c r="C292" s="80"/>
      <c r="D292" s="80"/>
      <c r="E292" s="80"/>
      <c r="F292" s="80"/>
      <c r="G292" s="82"/>
      <c r="H292" s="105">
        <f t="shared" si="4"/>
        <v>1</v>
      </c>
    </row>
    <row r="293" spans="1:8" x14ac:dyDescent="0.25">
      <c r="A293" s="80"/>
      <c r="B293" s="80"/>
      <c r="C293" s="80"/>
      <c r="D293" s="80"/>
      <c r="E293" s="80"/>
      <c r="F293" s="80"/>
      <c r="G293" s="82"/>
      <c r="H293" s="105">
        <f t="shared" si="4"/>
        <v>1</v>
      </c>
    </row>
    <row r="294" spans="1:8" x14ac:dyDescent="0.25">
      <c r="A294" s="80"/>
      <c r="B294" s="80"/>
      <c r="C294" s="80"/>
      <c r="D294" s="80"/>
      <c r="E294" s="80"/>
      <c r="F294" s="80"/>
      <c r="G294" s="82"/>
      <c r="H294" s="105">
        <f t="shared" si="4"/>
        <v>1</v>
      </c>
    </row>
    <row r="295" spans="1:8" x14ac:dyDescent="0.25">
      <c r="A295" s="80"/>
      <c r="B295" s="80"/>
      <c r="C295" s="80"/>
      <c r="D295" s="80"/>
      <c r="E295" s="80"/>
      <c r="F295" s="80"/>
      <c r="G295" s="82"/>
      <c r="H295" s="105">
        <f t="shared" si="4"/>
        <v>1</v>
      </c>
    </row>
    <row r="296" spans="1:8" x14ac:dyDescent="0.25">
      <c r="A296" s="80"/>
      <c r="B296" s="80"/>
      <c r="C296" s="80"/>
      <c r="D296" s="80"/>
      <c r="E296" s="80"/>
      <c r="F296" s="80"/>
      <c r="G296" s="82"/>
      <c r="H296" s="105">
        <f t="shared" si="4"/>
        <v>1</v>
      </c>
    </row>
    <row r="297" spans="1:8" x14ac:dyDescent="0.25">
      <c r="A297" s="80"/>
      <c r="B297" s="80"/>
      <c r="C297" s="80"/>
      <c r="D297" s="80"/>
      <c r="E297" s="80"/>
      <c r="F297" s="80"/>
      <c r="G297" s="82"/>
      <c r="H297" s="105">
        <f t="shared" si="4"/>
        <v>1</v>
      </c>
    </row>
    <row r="298" spans="1:8" x14ac:dyDescent="0.25">
      <c r="A298" s="80"/>
      <c r="B298" s="80"/>
      <c r="C298" s="80"/>
      <c r="D298" s="80"/>
      <c r="E298" s="80"/>
      <c r="F298" s="80"/>
      <c r="G298" s="82"/>
      <c r="H298" s="105">
        <f t="shared" si="4"/>
        <v>1</v>
      </c>
    </row>
    <row r="299" spans="1:8" x14ac:dyDescent="0.25">
      <c r="A299" s="80"/>
      <c r="B299" s="80"/>
      <c r="C299" s="80"/>
      <c r="D299" s="80"/>
      <c r="E299" s="80"/>
      <c r="F299" s="80"/>
      <c r="G299" s="82"/>
      <c r="H299" s="105">
        <f t="shared" si="4"/>
        <v>1</v>
      </c>
    </row>
    <row r="300" spans="1:8" x14ac:dyDescent="0.25">
      <c r="A300" s="80"/>
      <c r="B300" s="80"/>
      <c r="C300" s="80"/>
      <c r="D300" s="80"/>
      <c r="E300" s="80"/>
      <c r="F300" s="80"/>
      <c r="G300" s="82"/>
      <c r="H300" s="105">
        <f t="shared" si="4"/>
        <v>1</v>
      </c>
    </row>
    <row r="301" spans="1:8" x14ac:dyDescent="0.25">
      <c r="A301" s="80"/>
      <c r="B301" s="80"/>
      <c r="C301" s="80"/>
      <c r="D301" s="80"/>
      <c r="E301" s="80"/>
      <c r="F301" s="80"/>
      <c r="G301" s="82"/>
      <c r="H301" s="105">
        <f t="shared" si="4"/>
        <v>1</v>
      </c>
    </row>
    <row r="302" spans="1:8" x14ac:dyDescent="0.25">
      <c r="A302" s="80"/>
      <c r="B302" s="80"/>
      <c r="C302" s="80"/>
      <c r="D302" s="80"/>
      <c r="E302" s="80"/>
      <c r="F302" s="80"/>
      <c r="G302" s="82"/>
      <c r="H302" s="105">
        <f t="shared" si="4"/>
        <v>1</v>
      </c>
    </row>
    <row r="303" spans="1:8" x14ac:dyDescent="0.25">
      <c r="A303" s="80"/>
      <c r="B303" s="80"/>
      <c r="C303" s="80"/>
      <c r="D303" s="80"/>
      <c r="E303" s="80"/>
      <c r="F303" s="80"/>
      <c r="G303" s="82"/>
      <c r="H303" s="105">
        <f t="shared" si="4"/>
        <v>1</v>
      </c>
    </row>
    <row r="304" spans="1:8" x14ac:dyDescent="0.25">
      <c r="A304" s="80"/>
      <c r="B304" s="80"/>
      <c r="C304" s="80"/>
      <c r="D304" s="80"/>
      <c r="E304" s="80"/>
      <c r="F304" s="80"/>
      <c r="G304" s="82"/>
      <c r="H304" s="105">
        <f t="shared" si="4"/>
        <v>1</v>
      </c>
    </row>
    <row r="305" spans="1:8" x14ac:dyDescent="0.25">
      <c r="A305" s="80"/>
      <c r="B305" s="80"/>
      <c r="C305" s="80"/>
      <c r="D305" s="80"/>
      <c r="E305" s="80"/>
      <c r="F305" s="80"/>
      <c r="G305" s="82"/>
      <c r="H305" s="105">
        <f t="shared" si="4"/>
        <v>1</v>
      </c>
    </row>
    <row r="306" spans="1:8" x14ac:dyDescent="0.25">
      <c r="A306" s="80"/>
      <c r="B306" s="80"/>
      <c r="C306" s="80"/>
      <c r="D306" s="80"/>
      <c r="E306" s="80"/>
      <c r="F306" s="80"/>
      <c r="G306" s="82"/>
      <c r="H306" s="105">
        <f t="shared" si="4"/>
        <v>1</v>
      </c>
    </row>
    <row r="307" spans="1:8" x14ac:dyDescent="0.25">
      <c r="A307" s="80"/>
      <c r="B307" s="80"/>
      <c r="C307" s="80"/>
      <c r="D307" s="80"/>
      <c r="E307" s="80"/>
      <c r="F307" s="80"/>
      <c r="G307" s="82"/>
      <c r="H307" s="105">
        <f t="shared" si="4"/>
        <v>1</v>
      </c>
    </row>
    <row r="308" spans="1:8" x14ac:dyDescent="0.25">
      <c r="A308" s="80"/>
      <c r="B308" s="80"/>
      <c r="C308" s="80"/>
      <c r="D308" s="80"/>
      <c r="E308" s="80"/>
      <c r="F308" s="80"/>
      <c r="G308" s="82"/>
      <c r="H308" s="105">
        <f t="shared" si="4"/>
        <v>1</v>
      </c>
    </row>
    <row r="309" spans="1:8" x14ac:dyDescent="0.25">
      <c r="A309" s="80"/>
      <c r="B309" s="80"/>
      <c r="C309" s="80"/>
      <c r="D309" s="80"/>
      <c r="E309" s="80"/>
      <c r="F309" s="80"/>
      <c r="G309" s="82"/>
      <c r="H309" s="105">
        <f t="shared" si="4"/>
        <v>1</v>
      </c>
    </row>
    <row r="310" spans="1:8" x14ac:dyDescent="0.25">
      <c r="A310" s="80"/>
      <c r="B310" s="80"/>
      <c r="C310" s="80"/>
      <c r="D310" s="80"/>
      <c r="E310" s="80"/>
      <c r="F310" s="80"/>
      <c r="G310" s="82"/>
      <c r="H310" s="105">
        <f t="shared" si="4"/>
        <v>1</v>
      </c>
    </row>
    <row r="311" spans="1:8" x14ac:dyDescent="0.25">
      <c r="A311" s="80"/>
      <c r="B311" s="80"/>
      <c r="C311" s="80"/>
      <c r="D311" s="80"/>
      <c r="E311" s="80"/>
      <c r="F311" s="80"/>
      <c r="G311" s="82"/>
      <c r="H311" s="105">
        <f t="shared" si="4"/>
        <v>1</v>
      </c>
    </row>
    <row r="312" spans="1:8" x14ac:dyDescent="0.25">
      <c r="A312" s="80"/>
      <c r="B312" s="80"/>
      <c r="C312" s="80"/>
      <c r="D312" s="80"/>
      <c r="E312" s="80"/>
      <c r="F312" s="80"/>
      <c r="G312" s="82"/>
      <c r="H312" s="105">
        <f t="shared" si="4"/>
        <v>1</v>
      </c>
    </row>
    <row r="313" spans="1:8" x14ac:dyDescent="0.25">
      <c r="A313" s="80"/>
      <c r="B313" s="80"/>
      <c r="C313" s="80"/>
      <c r="D313" s="80"/>
      <c r="E313" s="80"/>
      <c r="F313" s="80"/>
      <c r="G313" s="82"/>
      <c r="H313" s="105">
        <f t="shared" si="4"/>
        <v>1</v>
      </c>
    </row>
    <row r="314" spans="1:8" x14ac:dyDescent="0.25">
      <c r="A314" s="80"/>
      <c r="B314" s="80"/>
      <c r="C314" s="80"/>
      <c r="D314" s="80"/>
      <c r="E314" s="80"/>
      <c r="F314" s="80"/>
      <c r="G314" s="82"/>
      <c r="H314" s="105">
        <f t="shared" si="4"/>
        <v>1</v>
      </c>
    </row>
    <row r="315" spans="1:8" x14ac:dyDescent="0.25">
      <c r="A315" s="80"/>
      <c r="B315" s="80"/>
      <c r="C315" s="80"/>
      <c r="D315" s="80"/>
      <c r="E315" s="80"/>
      <c r="F315" s="80"/>
      <c r="G315" s="82"/>
      <c r="H315" s="105">
        <f t="shared" si="4"/>
        <v>1</v>
      </c>
    </row>
    <row r="316" spans="1:8" x14ac:dyDescent="0.25">
      <c r="A316" s="80"/>
      <c r="B316" s="80"/>
      <c r="C316" s="80"/>
      <c r="D316" s="80"/>
      <c r="E316" s="80"/>
      <c r="F316" s="80"/>
      <c r="G316" s="82"/>
      <c r="H316" s="105">
        <f t="shared" si="4"/>
        <v>1</v>
      </c>
    </row>
    <row r="317" spans="1:8" x14ac:dyDescent="0.25">
      <c r="A317" s="80"/>
      <c r="B317" s="80"/>
      <c r="C317" s="80"/>
      <c r="D317" s="80"/>
      <c r="E317" s="80"/>
      <c r="F317" s="80"/>
      <c r="G317" s="82"/>
      <c r="H317" s="105">
        <f t="shared" si="4"/>
        <v>1</v>
      </c>
    </row>
    <row r="318" spans="1:8" x14ac:dyDescent="0.25">
      <c r="A318" s="80"/>
      <c r="B318" s="80"/>
      <c r="C318" s="80"/>
      <c r="D318" s="80"/>
      <c r="E318" s="80"/>
      <c r="F318" s="80"/>
      <c r="G318" s="82"/>
      <c r="H318" s="105">
        <f t="shared" si="4"/>
        <v>1</v>
      </c>
    </row>
    <row r="319" spans="1:8" x14ac:dyDescent="0.25">
      <c r="A319" s="80"/>
      <c r="B319" s="80"/>
      <c r="C319" s="80"/>
      <c r="D319" s="80"/>
      <c r="E319" s="80"/>
      <c r="F319" s="80"/>
      <c r="G319" s="82"/>
      <c r="H319" s="105">
        <f t="shared" si="4"/>
        <v>1</v>
      </c>
    </row>
    <row r="320" spans="1:8" x14ac:dyDescent="0.25">
      <c r="A320" s="80"/>
      <c r="B320" s="80"/>
      <c r="C320" s="80"/>
      <c r="D320" s="80"/>
      <c r="E320" s="80"/>
      <c r="F320" s="80"/>
      <c r="G320" s="82"/>
      <c r="H320" s="105">
        <f t="shared" si="4"/>
        <v>1</v>
      </c>
    </row>
    <row r="321" spans="1:8" x14ac:dyDescent="0.25">
      <c r="A321" s="80"/>
      <c r="B321" s="80"/>
      <c r="C321" s="80"/>
      <c r="D321" s="80"/>
      <c r="E321" s="80"/>
      <c r="F321" s="80"/>
      <c r="G321" s="82"/>
      <c r="H321" s="105">
        <f t="shared" si="4"/>
        <v>1</v>
      </c>
    </row>
    <row r="322" spans="1:8" x14ac:dyDescent="0.25">
      <c r="A322" s="80"/>
      <c r="B322" s="80"/>
      <c r="C322" s="80"/>
      <c r="D322" s="80"/>
      <c r="E322" s="80"/>
      <c r="F322" s="80"/>
      <c r="G322" s="82"/>
      <c r="H322" s="105">
        <f t="shared" si="4"/>
        <v>1</v>
      </c>
    </row>
    <row r="323" spans="1:8" x14ac:dyDescent="0.25">
      <c r="A323" s="80"/>
      <c r="B323" s="80"/>
      <c r="C323" s="80"/>
      <c r="D323" s="80"/>
      <c r="E323" s="80"/>
      <c r="F323" s="80"/>
      <c r="G323" s="82"/>
      <c r="H323" s="105">
        <f t="shared" ref="H323:H345" si="5">MONTH(A323)</f>
        <v>1</v>
      </c>
    </row>
    <row r="324" spans="1:8" x14ac:dyDescent="0.25">
      <c r="A324" s="80"/>
      <c r="B324" s="80"/>
      <c r="C324" s="80"/>
      <c r="D324" s="80"/>
      <c r="E324" s="80"/>
      <c r="F324" s="80"/>
      <c r="G324" s="82"/>
      <c r="H324" s="105">
        <f t="shared" si="5"/>
        <v>1</v>
      </c>
    </row>
    <row r="325" spans="1:8" x14ac:dyDescent="0.25">
      <c r="A325" s="80"/>
      <c r="B325" s="80"/>
      <c r="C325" s="80"/>
      <c r="D325" s="80"/>
      <c r="E325" s="80"/>
      <c r="F325" s="80"/>
      <c r="G325" s="82"/>
      <c r="H325" s="105">
        <f t="shared" si="5"/>
        <v>1</v>
      </c>
    </row>
    <row r="326" spans="1:8" x14ac:dyDescent="0.25">
      <c r="A326" s="80"/>
      <c r="B326" s="80"/>
      <c r="C326" s="80"/>
      <c r="D326" s="80"/>
      <c r="E326" s="80"/>
      <c r="F326" s="80"/>
      <c r="G326" s="82"/>
      <c r="H326" s="105">
        <f t="shared" si="5"/>
        <v>1</v>
      </c>
    </row>
    <row r="327" spans="1:8" x14ac:dyDescent="0.25">
      <c r="A327" s="80"/>
      <c r="B327" s="80"/>
      <c r="C327" s="80"/>
      <c r="D327" s="80"/>
      <c r="E327" s="80"/>
      <c r="F327" s="80"/>
      <c r="G327" s="82"/>
      <c r="H327" s="105">
        <f t="shared" si="5"/>
        <v>1</v>
      </c>
    </row>
    <row r="328" spans="1:8" x14ac:dyDescent="0.25">
      <c r="A328" s="80"/>
      <c r="B328" s="80"/>
      <c r="C328" s="80"/>
      <c r="D328" s="80"/>
      <c r="E328" s="80"/>
      <c r="F328" s="80"/>
      <c r="G328" s="82"/>
      <c r="H328" s="105">
        <f t="shared" si="5"/>
        <v>1</v>
      </c>
    </row>
    <row r="329" spans="1:8" x14ac:dyDescent="0.25">
      <c r="A329" s="80"/>
      <c r="B329" s="80"/>
      <c r="C329" s="80"/>
      <c r="D329" s="80"/>
      <c r="E329" s="80"/>
      <c r="F329" s="80"/>
      <c r="G329" s="82"/>
      <c r="H329" s="105">
        <f t="shared" si="5"/>
        <v>1</v>
      </c>
    </row>
    <row r="330" spans="1:8" x14ac:dyDescent="0.25">
      <c r="A330" s="80"/>
      <c r="B330" s="80"/>
      <c r="C330" s="80"/>
      <c r="D330" s="80"/>
      <c r="E330" s="80"/>
      <c r="F330" s="80"/>
      <c r="G330" s="82"/>
      <c r="H330" s="105">
        <f t="shared" si="5"/>
        <v>1</v>
      </c>
    </row>
    <row r="331" spans="1:8" x14ac:dyDescent="0.25">
      <c r="A331" s="80"/>
      <c r="B331" s="80"/>
      <c r="C331" s="80"/>
      <c r="D331" s="80"/>
      <c r="E331" s="80"/>
      <c r="F331" s="80"/>
      <c r="G331" s="82"/>
      <c r="H331" s="105">
        <f t="shared" si="5"/>
        <v>1</v>
      </c>
    </row>
    <row r="332" spans="1:8" x14ac:dyDescent="0.25">
      <c r="A332" s="80"/>
      <c r="B332" s="80"/>
      <c r="C332" s="80"/>
      <c r="D332" s="80"/>
      <c r="E332" s="80"/>
      <c r="F332" s="80"/>
      <c r="G332" s="82"/>
      <c r="H332" s="105">
        <f t="shared" si="5"/>
        <v>1</v>
      </c>
    </row>
    <row r="333" spans="1:8" x14ac:dyDescent="0.25">
      <c r="A333" s="80"/>
      <c r="B333" s="80"/>
      <c r="C333" s="80"/>
      <c r="D333" s="80"/>
      <c r="E333" s="80"/>
      <c r="F333" s="80"/>
      <c r="G333" s="82"/>
      <c r="H333" s="105">
        <f t="shared" si="5"/>
        <v>1</v>
      </c>
    </row>
    <row r="334" spans="1:8" x14ac:dyDescent="0.25">
      <c r="A334" s="80"/>
      <c r="B334" s="80"/>
      <c r="C334" s="80"/>
      <c r="D334" s="80"/>
      <c r="E334" s="80"/>
      <c r="F334" s="80"/>
      <c r="G334" s="82"/>
      <c r="H334" s="105">
        <f t="shared" si="5"/>
        <v>1</v>
      </c>
    </row>
    <row r="335" spans="1:8" x14ac:dyDescent="0.25">
      <c r="A335" s="80"/>
      <c r="B335" s="80"/>
      <c r="C335" s="80"/>
      <c r="D335" s="80"/>
      <c r="E335" s="80"/>
      <c r="F335" s="80"/>
      <c r="G335" s="82"/>
      <c r="H335" s="105">
        <f t="shared" si="5"/>
        <v>1</v>
      </c>
    </row>
    <row r="336" spans="1:8" x14ac:dyDescent="0.25">
      <c r="A336" s="80"/>
      <c r="B336" s="80"/>
      <c r="C336" s="80"/>
      <c r="D336" s="80"/>
      <c r="E336" s="80"/>
      <c r="F336" s="80"/>
      <c r="G336" s="82"/>
      <c r="H336" s="105">
        <f t="shared" si="5"/>
        <v>1</v>
      </c>
    </row>
    <row r="337" spans="1:8" x14ac:dyDescent="0.25">
      <c r="A337" s="80"/>
      <c r="B337" s="80"/>
      <c r="C337" s="80"/>
      <c r="D337" s="80"/>
      <c r="E337" s="80"/>
      <c r="F337" s="80"/>
      <c r="G337" s="82"/>
      <c r="H337" s="105">
        <f t="shared" si="5"/>
        <v>1</v>
      </c>
    </row>
    <row r="338" spans="1:8" x14ac:dyDescent="0.25">
      <c r="A338" s="80"/>
      <c r="B338" s="80"/>
      <c r="C338" s="80"/>
      <c r="D338" s="80"/>
      <c r="E338" s="80"/>
      <c r="F338" s="80"/>
      <c r="G338" s="82"/>
      <c r="H338" s="105">
        <f t="shared" si="5"/>
        <v>1</v>
      </c>
    </row>
    <row r="339" spans="1:8" x14ac:dyDescent="0.25">
      <c r="A339" s="80"/>
      <c r="B339" s="80"/>
      <c r="C339" s="80"/>
      <c r="D339" s="80"/>
      <c r="E339" s="80"/>
      <c r="F339" s="80"/>
      <c r="G339" s="82"/>
      <c r="H339" s="105">
        <f t="shared" si="5"/>
        <v>1</v>
      </c>
    </row>
    <row r="340" spans="1:8" x14ac:dyDescent="0.25">
      <c r="A340" s="80"/>
      <c r="B340" s="80"/>
      <c r="C340" s="80"/>
      <c r="D340" s="80"/>
      <c r="E340" s="80"/>
      <c r="F340" s="80"/>
      <c r="G340" s="82"/>
      <c r="H340" s="105">
        <f t="shared" si="5"/>
        <v>1</v>
      </c>
    </row>
    <row r="341" spans="1:8" x14ac:dyDescent="0.25">
      <c r="A341" s="80"/>
      <c r="B341" s="80"/>
      <c r="C341" s="80"/>
      <c r="D341" s="80"/>
      <c r="E341" s="80"/>
      <c r="F341" s="80"/>
      <c r="G341" s="82"/>
      <c r="H341" s="105">
        <f t="shared" si="5"/>
        <v>1</v>
      </c>
    </row>
    <row r="342" spans="1:8" x14ac:dyDescent="0.25">
      <c r="A342" s="80"/>
      <c r="B342" s="80"/>
      <c r="C342" s="80"/>
      <c r="D342" s="80"/>
      <c r="E342" s="80"/>
      <c r="F342" s="80"/>
      <c r="G342" s="82"/>
      <c r="H342" s="105">
        <f t="shared" si="5"/>
        <v>1</v>
      </c>
    </row>
    <row r="343" spans="1:8" x14ac:dyDescent="0.25">
      <c r="A343" s="80"/>
      <c r="B343" s="80"/>
      <c r="C343" s="80"/>
      <c r="D343" s="80"/>
      <c r="E343" s="80"/>
      <c r="F343" s="80"/>
      <c r="G343" s="82"/>
      <c r="H343" s="105">
        <f t="shared" si="5"/>
        <v>1</v>
      </c>
    </row>
    <row r="344" spans="1:8" x14ac:dyDescent="0.25">
      <c r="A344" s="80"/>
      <c r="B344" s="80"/>
      <c r="C344" s="80"/>
      <c r="D344" s="80"/>
      <c r="E344" s="80"/>
      <c r="F344" s="80"/>
      <c r="G344" s="82"/>
      <c r="H344" s="105">
        <f t="shared" si="5"/>
        <v>1</v>
      </c>
    </row>
    <row r="345" spans="1:8" x14ac:dyDescent="0.25">
      <c r="A345" s="80"/>
      <c r="B345" s="80" t="s">
        <v>36</v>
      </c>
      <c r="C345" s="80"/>
      <c r="D345" s="80"/>
      <c r="E345" s="80"/>
      <c r="F345" s="80"/>
      <c r="G345" s="82"/>
      <c r="H345" s="105">
        <f t="shared" si="5"/>
        <v>1</v>
      </c>
    </row>
  </sheetData>
  <sheetProtection insertRows="0" sort="0" autoFilter="0"/>
  <dataValidations count="2">
    <dataValidation type="date" allowBlank="1" showInputMessage="1" showErrorMessage="1" sqref="A2:A466" xr:uid="{C765ACBF-E192-48E9-9A51-1E3945E6FF5D}">
      <formula1>42005</formula1>
      <formula2>47848</formula2>
    </dataValidation>
    <dataValidation type="list" allowBlank="1" showInputMessage="1" showErrorMessage="1" sqref="G2:G328" xr:uid="{31B5DE80-2BCF-4D49-BF3E-7C89552472E2}">
      <formula1>$S$2:$S$8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Description xmlns="6e9ea02a-742f-4d68-9828-878561d4a93c" xsi:nil="true"/>
    <AssetExpire xmlns="6e9ea02a-742f-4d68-9828-878561d4a93c">2029-01-01T08:00:00+00:00</AssetExpire>
    <CampaignTagsTaxHTField0 xmlns="6e9ea02a-742f-4d68-9828-878561d4a93c">
      <Terms xmlns="http://schemas.microsoft.com/office/infopath/2007/PartnerControls"/>
    </CampaignTagsTaxHTField0>
    <IntlLangReviewDate xmlns="6e9ea02a-742f-4d68-9828-878561d4a93c" xsi:nil="true"/>
    <TPFriendlyName xmlns="6e9ea02a-742f-4d68-9828-878561d4a93c" xsi:nil="true"/>
    <IntlLangReview xmlns="6e9ea02a-742f-4d68-9828-878561d4a93c">false</IntlLangReview>
    <LocLastLocAttemptVersionLookup xmlns="6e9ea02a-742f-4d68-9828-878561d4a93c">848662</LocLastLocAttemptVersionLookup>
    <PolicheckWords xmlns="6e9ea02a-742f-4d68-9828-878561d4a93c" xsi:nil="true"/>
    <SubmitterId xmlns="6e9ea02a-742f-4d68-9828-878561d4a93c" xsi:nil="true"/>
    <AcquiredFrom xmlns="6e9ea02a-742f-4d68-9828-878561d4a93c">Internal MS</AcquiredFrom>
    <EditorialStatus xmlns="6e9ea02a-742f-4d68-9828-878561d4a93c">Complete</EditorialStatus>
    <Markets xmlns="6e9ea02a-742f-4d68-9828-878561d4a93c"/>
    <OriginAsset xmlns="6e9ea02a-742f-4d68-9828-878561d4a93c" xsi:nil="true"/>
    <AssetStart xmlns="6e9ea02a-742f-4d68-9828-878561d4a93c">2012-07-27T02:37:00+00:00</AssetStart>
    <FriendlyTitle xmlns="6e9ea02a-742f-4d68-9828-878561d4a93c" xsi:nil="true"/>
    <MarketSpecific xmlns="6e9ea02a-742f-4d68-9828-878561d4a93c">false</MarketSpecific>
    <TPNamespace xmlns="6e9ea02a-742f-4d68-9828-878561d4a93c" xsi:nil="true"/>
    <PublishStatusLookup xmlns="6e9ea02a-742f-4d68-9828-878561d4a93c">
      <Value>317533</Value>
    </PublishStatusLookup>
    <APAuthor xmlns="6e9ea02a-742f-4d68-9828-878561d4a93c">
      <UserInfo>
        <DisplayName>REDMOND\v-sa</DisplayName>
        <AccountId>2467</AccountId>
        <AccountType/>
      </UserInfo>
    </APAuthor>
    <TPCommandLine xmlns="6e9ea02a-742f-4d68-9828-878561d4a93c" xsi:nil="true"/>
    <IntlLangReviewer xmlns="6e9ea02a-742f-4d68-9828-878561d4a93c" xsi:nil="true"/>
    <OpenTemplate xmlns="6e9ea02a-742f-4d68-9828-878561d4a93c">true</OpenTemplate>
    <CSXSubmissionDate xmlns="6e9ea02a-742f-4d68-9828-878561d4a93c" xsi:nil="true"/>
    <TaxCatchAll xmlns="6e9ea02a-742f-4d68-9828-878561d4a93c"/>
    <Manager xmlns="6e9ea02a-742f-4d68-9828-878561d4a93c" xsi:nil="true"/>
    <NumericId xmlns="6e9ea02a-742f-4d68-9828-878561d4a93c" xsi:nil="true"/>
    <ParentAssetId xmlns="6e9ea02a-742f-4d68-9828-878561d4a93c" xsi:nil="true"/>
    <OriginalSourceMarket xmlns="6e9ea02a-742f-4d68-9828-878561d4a93c">english</OriginalSourceMarket>
    <ApprovalStatus xmlns="6e9ea02a-742f-4d68-9828-878561d4a93c">InProgress</ApprovalStatus>
    <TPComponent xmlns="6e9ea02a-742f-4d68-9828-878561d4a93c" xsi:nil="true"/>
    <EditorialTags xmlns="6e9ea02a-742f-4d68-9828-878561d4a93c" xsi:nil="true"/>
    <TPExecutable xmlns="6e9ea02a-742f-4d68-9828-878561d4a93c" xsi:nil="true"/>
    <TPLaunchHelpLink xmlns="6e9ea02a-742f-4d68-9828-878561d4a93c" xsi:nil="true"/>
    <LocComments xmlns="6e9ea02a-742f-4d68-9828-878561d4a93c" xsi:nil="true"/>
    <LocRecommendedHandoff xmlns="6e9ea02a-742f-4d68-9828-878561d4a93c" xsi:nil="true"/>
    <SourceTitle xmlns="6e9ea02a-742f-4d68-9828-878561d4a93c" xsi:nil="true"/>
    <CSXUpdate xmlns="6e9ea02a-742f-4d68-9828-878561d4a93c">false</CSXUpdate>
    <IntlLocPriority xmlns="6e9ea02a-742f-4d68-9828-878561d4a93c" xsi:nil="true"/>
    <UAProjectedTotalWords xmlns="6e9ea02a-742f-4d68-9828-878561d4a93c" xsi:nil="true"/>
    <AssetType xmlns="6e9ea02a-742f-4d68-9828-878561d4a93c">TP</AssetType>
    <MachineTranslated xmlns="6e9ea02a-742f-4d68-9828-878561d4a93c">false</MachineTranslated>
    <OutputCachingOn xmlns="6e9ea02a-742f-4d68-9828-878561d4a93c">false</OutputCachingOn>
    <TemplateStatus xmlns="6e9ea02a-742f-4d68-9828-878561d4a93c">Complete</TemplateStatus>
    <IsSearchable xmlns="6e9ea02a-742f-4d68-9828-878561d4a93c">true</IsSearchable>
    <ContentItem xmlns="6e9ea02a-742f-4d68-9828-878561d4a93c" xsi:nil="true"/>
    <HandoffToMSDN xmlns="6e9ea02a-742f-4d68-9828-878561d4a93c" xsi:nil="true"/>
    <ShowIn xmlns="6e9ea02a-742f-4d68-9828-878561d4a93c">Show everywhere</ShowIn>
    <ThumbnailAssetId xmlns="6e9ea02a-742f-4d68-9828-878561d4a93c" xsi:nil="true"/>
    <UALocComments xmlns="6e9ea02a-742f-4d68-9828-878561d4a93c" xsi:nil="true"/>
    <UALocRecommendation xmlns="6e9ea02a-742f-4d68-9828-878561d4a93c">Localize</UALocRecommendation>
    <LastModifiedDateTime xmlns="6e9ea02a-742f-4d68-9828-878561d4a93c" xsi:nil="true"/>
    <LegacyData xmlns="6e9ea02a-742f-4d68-9828-878561d4a93c" xsi:nil="true"/>
    <LocManualTestRequired xmlns="6e9ea02a-742f-4d68-9828-878561d4a93c">false</LocManualTestRequired>
    <LocMarketGroupTiers2 xmlns="6e9ea02a-742f-4d68-9828-878561d4a93c" xsi:nil="true"/>
    <ClipArtFilename xmlns="6e9ea02a-742f-4d68-9828-878561d4a93c" xsi:nil="true"/>
    <TPApplication xmlns="6e9ea02a-742f-4d68-9828-878561d4a93c" xsi:nil="true"/>
    <CSXHash xmlns="6e9ea02a-742f-4d68-9828-878561d4a93c" xsi:nil="true"/>
    <DirectSourceMarket xmlns="6e9ea02a-742f-4d68-9828-878561d4a93c">english</DirectSourceMarket>
    <PrimaryImageGen xmlns="6e9ea02a-742f-4d68-9828-878561d4a93c">true</PrimaryImageGen>
    <PlannedPubDate xmlns="6e9ea02a-742f-4d68-9828-878561d4a93c" xsi:nil="true"/>
    <CSXSubmissionMarket xmlns="6e9ea02a-742f-4d68-9828-878561d4a93c" xsi:nil="true"/>
    <Downloads xmlns="6e9ea02a-742f-4d68-9828-878561d4a93c">0</Downloads>
    <ArtSampleDocs xmlns="6e9ea02a-742f-4d68-9828-878561d4a93c" xsi:nil="true"/>
    <TrustLevel xmlns="6e9ea02a-742f-4d68-9828-878561d4a93c">1 Microsoft Managed Content</TrustLevel>
    <BlockPublish xmlns="6e9ea02a-742f-4d68-9828-878561d4a93c">false</BlockPublish>
    <TPLaunchHelpLinkType xmlns="6e9ea02a-742f-4d68-9828-878561d4a93c">Template</TPLaunchHelpLinkType>
    <LocalizationTagsTaxHTField0 xmlns="6e9ea02a-742f-4d68-9828-878561d4a93c">
      <Terms xmlns="http://schemas.microsoft.com/office/infopath/2007/PartnerControls"/>
    </LocalizationTagsTaxHTField0>
    <BusinessGroup xmlns="6e9ea02a-742f-4d68-9828-878561d4a93c" xsi:nil="true"/>
    <Providers xmlns="6e9ea02a-742f-4d68-9828-878561d4a93c" xsi:nil="true"/>
    <TemplateTemplateType xmlns="6e9ea02a-742f-4d68-9828-878561d4a93c">Excel 2007 Default</TemplateTemplateType>
    <TimesCloned xmlns="6e9ea02a-742f-4d68-9828-878561d4a93c" xsi:nil="true"/>
    <TPAppVersion xmlns="6e9ea02a-742f-4d68-9828-878561d4a93c" xsi:nil="true"/>
    <VoteCount xmlns="6e9ea02a-742f-4d68-9828-878561d4a93c" xsi:nil="true"/>
    <FeatureTagsTaxHTField0 xmlns="6e9ea02a-742f-4d68-9828-878561d4a93c">
      <Terms xmlns="http://schemas.microsoft.com/office/infopath/2007/PartnerControls"/>
    </FeatureTagsTaxHTField0>
    <Provider xmlns="6e9ea02a-742f-4d68-9828-878561d4a93c" xsi:nil="true"/>
    <UACurrentWords xmlns="6e9ea02a-742f-4d68-9828-878561d4a93c" xsi:nil="true"/>
    <AssetId xmlns="6e9ea02a-742f-4d68-9828-878561d4a93c">TP103107636</AssetId>
    <TPClientViewer xmlns="6e9ea02a-742f-4d68-9828-878561d4a93c" xsi:nil="true"/>
    <DSATActionTaken xmlns="6e9ea02a-742f-4d68-9828-878561d4a93c" xsi:nil="true"/>
    <APEditor xmlns="6e9ea02a-742f-4d68-9828-878561d4a93c">
      <UserInfo>
        <DisplayName/>
        <AccountId xsi:nil="true"/>
        <AccountType/>
      </UserInfo>
    </APEditor>
    <TPInstallLocation xmlns="6e9ea02a-742f-4d68-9828-878561d4a93c" xsi:nil="true"/>
    <OOCacheId xmlns="6e9ea02a-742f-4d68-9828-878561d4a93c" xsi:nil="true"/>
    <IsDeleted xmlns="6e9ea02a-742f-4d68-9828-878561d4a93c">false</IsDeleted>
    <PublishTargets xmlns="6e9ea02a-742f-4d68-9828-878561d4a93c">OfficeOnlineVNext</PublishTargets>
    <ApprovalLog xmlns="6e9ea02a-742f-4d68-9828-878561d4a93c" xsi:nil="true"/>
    <BugNumber xmlns="6e9ea02a-742f-4d68-9828-878561d4a93c" xsi:nil="true"/>
    <CrawlForDependencies xmlns="6e9ea02a-742f-4d68-9828-878561d4a93c">false</CrawlForDependencies>
    <InternalTagsTaxHTField0 xmlns="6e9ea02a-742f-4d68-9828-878561d4a93c">
      <Terms xmlns="http://schemas.microsoft.com/office/infopath/2007/PartnerControls"/>
    </InternalTagsTaxHTField0>
    <LastHandOff xmlns="6e9ea02a-742f-4d68-9828-878561d4a93c" xsi:nil="true"/>
    <Milestone xmlns="6e9ea02a-742f-4d68-9828-878561d4a93c" xsi:nil="true"/>
    <OriginalRelease xmlns="6e9ea02a-742f-4d68-9828-878561d4a93c">15</OriginalRelease>
    <RecommendationsModifier xmlns="6e9ea02a-742f-4d68-9828-878561d4a93c" xsi:nil="true"/>
    <ScenarioTagsTaxHTField0 xmlns="6e9ea02a-742f-4d68-9828-878561d4a93c">
      <Terms xmlns="http://schemas.microsoft.com/office/infopath/2007/PartnerControls"/>
    </ScenarioTagsTaxHTField0>
    <UANotes xmlns="6e9ea02a-742f-4d68-9828-878561d4a93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TemplateFile" ma:contentTypeID="0x010100DEBB3141636B894099107E6745BE213F04000498BE45EB900B4AB4820FEB2B334769" ma:contentTypeVersion="56" ma:contentTypeDescription="Create a new document." ma:contentTypeScope="" ma:versionID="88e980705863785d62b24b2f127d8bb3">
  <xsd:schema xmlns:xsd="http://www.w3.org/2001/XMLSchema" xmlns:xs="http://www.w3.org/2001/XMLSchema" xmlns:p="http://schemas.microsoft.com/office/2006/metadata/properties" xmlns:ns2="6e9ea02a-742f-4d68-9828-878561d4a93c" targetNamespace="http://schemas.microsoft.com/office/2006/metadata/properties" ma:root="true" ma:fieldsID="41e2f71470f72663579db268ee2082ab" ns2:_="">
    <xsd:import namespace="6e9ea02a-742f-4d68-9828-878561d4a93c"/>
    <xsd:element name="properties">
      <xsd:complexType>
        <xsd:sequence>
          <xsd:element name="documentManagement">
            <xsd:complexType>
              <xsd:all>
                <xsd:element ref="ns2:AcquiredFrom" minOccurs="0"/>
                <xsd:element ref="ns2:UACurrentWords" minOccurs="0"/>
                <xsd:element ref="ns2:TPApplication" minOccurs="0"/>
                <xsd:element ref="ns2:ApprovalLog" minOccurs="0"/>
                <xsd:element ref="ns2:ApprovalStatus" minOccurs="0"/>
                <xsd:element ref="ns2:AssetStart" minOccurs="0"/>
                <xsd:element ref="ns2:AssetExpire" minOccurs="0"/>
                <xsd:element ref="ns2:AssetId" minOccurs="0"/>
                <xsd:element ref="ns2:IsSearchable" minOccurs="0"/>
                <xsd:element ref="ns2:AssetType" minOccurs="0"/>
                <xsd:element ref="ns2:APAuthor" minOccurs="0"/>
                <xsd:element ref="ns2:BlockPublish" minOccurs="0"/>
                <xsd:element ref="ns2:BugNumber" minOccurs="0"/>
                <xsd:element ref="ns2:CampaignTagsTaxHTField0" minOccurs="0"/>
                <xsd:element ref="ns2:TPClientViewer" minOccurs="0"/>
                <xsd:element ref="ns2:ClipArtFilename" minOccurs="0"/>
                <xsd:element ref="ns2:TPCommandLine" minOccurs="0"/>
                <xsd:element ref="ns2:TPComponent" minOccurs="0"/>
                <xsd:element ref="ns2:ContentItem" minOccurs="0"/>
                <xsd:element ref="ns2:CrawlForDependencies" minOccurs="0"/>
                <xsd:element ref="ns2:CSXHash" minOccurs="0"/>
                <xsd:element ref="ns2:CSXSubmissionMarket" minOccurs="0"/>
                <xsd:element ref="ns2:CSXUpdate" minOccurs="0"/>
                <xsd:element ref="ns2:IntlLangReviewDate" minOccurs="0"/>
                <xsd:element ref="ns2:IsDeleted" minOccurs="0"/>
                <xsd:element ref="ns2:APDescription" minOccurs="0"/>
                <xsd:element ref="ns2:DirectSourceMarket" minOccurs="0"/>
                <xsd:element ref="ns2:Downloads" minOccurs="0"/>
                <xsd:element ref="ns2:DSATActionTaken" minOccurs="0"/>
                <xsd:element ref="ns2:APEditor" minOccurs="0"/>
                <xsd:element ref="ns2:EditorialStatus" minOccurs="0"/>
                <xsd:element ref="ns2:EditorialTags" minOccurs="0"/>
                <xsd:element ref="ns2:TPExecutable" minOccurs="0"/>
                <xsd:element ref="ns2:FeatureTagsTaxHTField0" minOccurs="0"/>
                <xsd:element ref="ns2:TPFriendlyName" minOccurs="0"/>
                <xsd:element ref="ns2:FriendlyTitle" minOccurs="0"/>
                <xsd:element ref="ns2:PrimaryImageGen" minOccurs="0"/>
                <xsd:element ref="ns2:HandoffToMSDN" minOccurs="0"/>
                <xsd:element ref="ns2:InProjectListLookup" minOccurs="0"/>
                <xsd:element ref="ns2:TPInstallLocation" minOccurs="0"/>
                <xsd:element ref="ns2:InternalTagsTaxHTField0" minOccurs="0"/>
                <xsd:element ref="ns2:IntlLangReview" minOccurs="0"/>
                <xsd:element ref="ns2:IntlLangReviewer" minOccurs="0"/>
                <xsd:element ref="ns2:MarketSpecific" minOccurs="0"/>
                <xsd:element ref="ns2:LastCompleteVersionLookup" minOccurs="0"/>
                <xsd:element ref="ns2:LastHandOff" minOccurs="0"/>
                <xsd:element ref="ns2:LastModifiedDateTime" minOccurs="0"/>
                <xsd:element ref="ns2:LastPreviewErrorLookup" minOccurs="0"/>
                <xsd:element ref="ns2:LastPreviewResultLookup" minOccurs="0"/>
                <xsd:element ref="ns2:LastPreviewAttemptDateLookup" minOccurs="0"/>
                <xsd:element ref="ns2:LastPreviewedByLookup" minOccurs="0"/>
                <xsd:element ref="ns2:LastPreviewTimeLookup" minOccurs="0"/>
                <xsd:element ref="ns2:LastPreviewVersionLookup" minOccurs="0"/>
                <xsd:element ref="ns2:LastPublishErrorLookup" minOccurs="0"/>
                <xsd:element ref="ns2:LastPublishResultLookup" minOccurs="0"/>
                <xsd:element ref="ns2:LastPublishAttemptDateLookup" minOccurs="0"/>
                <xsd:element ref="ns2:LastPublishedByLookup" minOccurs="0"/>
                <xsd:element ref="ns2:LastPublishTimeLookup" minOccurs="0"/>
                <xsd:element ref="ns2:LastPublishVersionLookup" minOccurs="0"/>
                <xsd:element ref="ns2:TPLaunchHelpLinkType" minOccurs="0"/>
                <xsd:element ref="ns2:LegacyData" minOccurs="0"/>
                <xsd:element ref="ns2:TPLaunchHelpLink" minOccurs="0"/>
                <xsd:element ref="ns2:LocComments" minOccurs="0"/>
                <xsd:element ref="ns2:LocLastLocAttemptVersionLookup" minOccurs="0"/>
                <xsd:element ref="ns2:LocLastLocAttemptVersionTypeLookup" minOccurs="0"/>
                <xsd:element ref="ns2:LocManualTestRequired" minOccurs="0"/>
                <xsd:element ref="ns2:LocMarketGroupTiers2" minOccurs="0"/>
                <xsd:element ref="ns2:LocNewPublishedVersionLookup" minOccurs="0"/>
                <xsd:element ref="ns2:LocOverallHandbackStatusLookup" minOccurs="0"/>
                <xsd:element ref="ns2:LocOverallLocStatusLookup" minOccurs="0"/>
                <xsd:element ref="ns2:LocOverallPreviewStatusLookup" minOccurs="0"/>
                <xsd:element ref="ns2:LocOverallPublishStatusLookup" minOccurs="0"/>
                <xsd:element ref="ns2:IntlLocPriority" minOccurs="0"/>
                <xsd:element ref="ns2:LocProcessedForHandoffsLookup" minOccurs="0"/>
                <xsd:element ref="ns2:LocProcessedForMarketsLookup" minOccurs="0"/>
                <xsd:element ref="ns2:LocPublishedDependentAssetsLookup" minOccurs="0"/>
                <xsd:element ref="ns2:LocPublishedLinkedAssetsLookup" minOccurs="0"/>
                <xsd:element ref="ns2:LocRecommendedHandoff" minOccurs="0"/>
                <xsd:element ref="ns2:LocalizationTagsTaxHTField0" minOccurs="0"/>
                <xsd:element ref="ns2:MachineTranslated" minOccurs="0"/>
                <xsd:element ref="ns2:Manager" minOccurs="0"/>
                <xsd:element ref="ns2:Markets" minOccurs="0"/>
                <xsd:element ref="ns2:Milestone" minOccurs="0"/>
                <xsd:element ref="ns2:TPNamespace" minOccurs="0"/>
                <xsd:element ref="ns2:NumericId" minOccurs="0"/>
                <xsd:element ref="ns2:NumOfRatingsLookup" minOccurs="0"/>
                <xsd:element ref="ns2:OOCacheId" minOccurs="0"/>
                <xsd:element ref="ns2:OpenTemplate" minOccurs="0"/>
                <xsd:element ref="ns2:OriginAsset" minOccurs="0"/>
                <xsd:element ref="ns2:OriginalRelease" minOccurs="0"/>
                <xsd:element ref="ns2:OriginalSourceMarket" minOccurs="0"/>
                <xsd:element ref="ns2:OutputCachingOn" minOccurs="0"/>
                <xsd:element ref="ns2:ParentAssetId" minOccurs="0"/>
                <xsd:element ref="ns2:PlannedPubDate" minOccurs="0"/>
                <xsd:element ref="ns2:PolicheckWords" minOccurs="0"/>
                <xsd:element ref="ns2:BusinessGroup" minOccurs="0"/>
                <xsd:element ref="ns2:UAProjectedTotalWords" minOccurs="0"/>
                <xsd:element ref="ns2:Provider" minOccurs="0"/>
                <xsd:element ref="ns2:Providers" minOccurs="0"/>
                <xsd:element ref="ns2:PublishStatusLookup" minOccurs="0"/>
                <xsd:element ref="ns2:PublishTargets" minOccurs="0"/>
                <xsd:element ref="ns2:RecommendationsModifier" minOccurs="0"/>
                <xsd:element ref="ns2:ArtSampleDocs" minOccurs="0"/>
                <xsd:element ref="ns2:ScenarioTagsTaxHTField0" minOccurs="0"/>
                <xsd:element ref="ns2:ShowIn" minOccurs="0"/>
                <xsd:element ref="ns2:SourceTitle" minOccurs="0"/>
                <xsd:element ref="ns2:CSXSubmissionDate" minOccurs="0"/>
                <xsd:element ref="ns2:SubmitterId" minOccurs="0"/>
                <xsd:element ref="ns2:TaxCatchAll" minOccurs="0"/>
                <xsd:element ref="ns2:TaxCatchAllLabel" minOccurs="0"/>
                <xsd:element ref="ns2:TemplateStatus" minOccurs="0"/>
                <xsd:element ref="ns2:TemplateTemplateType" minOccurs="0"/>
                <xsd:element ref="ns2:ThumbnailAssetId" minOccurs="0"/>
                <xsd:element ref="ns2:TimesCloned" minOccurs="0"/>
                <xsd:element ref="ns2:TrustLevel" minOccurs="0"/>
                <xsd:element ref="ns2:UALocComments" minOccurs="0"/>
                <xsd:element ref="ns2:UALocRecommendation" minOccurs="0"/>
                <xsd:element ref="ns2:UANotes" minOccurs="0"/>
                <xsd:element ref="ns2:TPAppVersion" minOccurs="0"/>
                <xsd:element ref="ns2:VoteCou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ea02a-742f-4d68-9828-878561d4a93c" elementFormDefault="qualified">
    <xsd:import namespace="http://schemas.microsoft.com/office/2006/documentManagement/types"/>
    <xsd:import namespace="http://schemas.microsoft.com/office/infopath/2007/PartnerControls"/>
    <xsd:element name="AcquiredFrom" ma:index="1" nillable="true" ma:displayName="Acquired From" ma:default="Internal MS" ma:internalName="AcquiredFrom" ma:readOnly="false">
      <xsd:simpleType>
        <xsd:restriction base="dms:Choice">
          <xsd:enumeration value="Internal MS"/>
          <xsd:enumeration value="Community"/>
          <xsd:enumeration value="MVP"/>
          <xsd:enumeration value="Publisher"/>
          <xsd:enumeration value="Partner"/>
          <xsd:enumeration value="None"/>
        </xsd:restriction>
      </xsd:simpleType>
    </xsd:element>
    <xsd:element name="UACurrentWords" ma:index="2" nillable="true" ma:displayName="Actual Word Count" ma:default="" ma:internalName="UACurrentWords" ma:readOnly="false">
      <xsd:simpleType>
        <xsd:restriction base="dms:Unknown"/>
      </xsd:simpleType>
    </xsd:element>
    <xsd:element name="TPApplication" ma:index="3" nillable="true" ma:displayName="Application to Open Template With" ma:default="" ma:internalName="TPApplication">
      <xsd:simpleType>
        <xsd:restriction base="dms:Text"/>
      </xsd:simpleType>
    </xsd:element>
    <xsd:element name="ApprovalLog" ma:index="4" nillable="true" ma:displayName="Approval Log" ma:default="" ma:hidden="true" ma:internalName="ApprovalLog" ma:readOnly="false">
      <xsd:simpleType>
        <xsd:restriction base="dms:Note"/>
      </xsd:simpleType>
    </xsd:element>
    <xsd:element name="ApprovalStatus" ma:index="5" nillable="true" ma:displayName="Approval Status" ma:default="InProgress" ma:internalName="ApprovalStatus" ma:readOnly="false">
      <xsd:simpleType>
        <xsd:restriction base="dms:Choice">
          <xsd:enumeration value="InProgress"/>
          <xsd:enumeration value="Rejected"/>
          <xsd:enumeration value="Questionable"/>
          <xsd:enumeration value="ApprovedAutomatic"/>
          <xsd:enumeration value="ApprovedManual"/>
          <xsd:enumeration value="On Hold"/>
          <xsd:enumeration value="Needs Review"/>
          <xsd:enumeration value="A Violation"/>
          <xsd:enumeration value="Unpublished Violation"/>
        </xsd:restriction>
      </xsd:simpleType>
    </xsd:element>
    <xsd:element name="AssetStart" ma:index="6" nillable="true" ma:displayName="Asset Begin Date" ma:default="[Today]" ma:internalName="AssetStart" ma:readOnly="false">
      <xsd:simpleType>
        <xsd:restriction base="dms:DateTime"/>
      </xsd:simpleType>
    </xsd:element>
    <xsd:element name="AssetExpire" ma:index="7" nillable="true" ma:displayName="Asset End Date" ma:default="2029-01-01T00:00:00Z" ma:internalName="AssetExpire" ma:readOnly="false">
      <xsd:simpleType>
        <xsd:restriction base="dms:DateTime"/>
      </xsd:simpleType>
    </xsd:element>
    <xsd:element name="AssetId" ma:index="8" nillable="true" ma:displayName="Asset ID" ma:default="" ma:indexed="true" ma:internalName="AssetId" ma:readOnly="false">
      <xsd:simpleType>
        <xsd:restriction base="dms:Text">
          <xsd:maxLength value="255"/>
        </xsd:restriction>
      </xsd:simpleType>
    </xsd:element>
    <xsd:element name="IsSearchable" ma:index="9" nillable="true" ma:displayName="Asset Searchable?" ma:default="true" ma:internalName="IsSearchable" ma:readOnly="false">
      <xsd:simpleType>
        <xsd:restriction base="dms:Boolean"/>
      </xsd:simpleType>
    </xsd:element>
    <xsd:element name="AssetType" ma:index="10" nillable="true" ma:displayName="Asset Type" ma:default="" ma:internalName="AssetType" ma:readOnly="false">
      <xsd:simpleType>
        <xsd:restriction base="dms:Unknown"/>
      </xsd:simpleType>
    </xsd:element>
    <xsd:element name="APAuthor" ma:index="11" nillable="true" ma:displayName="Author" ma:default="" ma:list="UserInfo" ma:internalName="APAuth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BlockPublish" ma:index="12" nillable="true" ma:displayName="Block from Publishing?" ma:default="" ma:internalName="BlockPublish" ma:readOnly="false">
      <xsd:simpleType>
        <xsd:restriction base="dms:Boolean"/>
      </xsd:simpleType>
    </xsd:element>
    <xsd:element name="BugNumber" ma:index="13" nillable="true" ma:displayName="Bug Number" ma:default="" ma:internalName="BugNumber" ma:readOnly="false">
      <xsd:simpleType>
        <xsd:restriction base="dms:Text"/>
      </xsd:simpleType>
    </xsd:element>
    <xsd:element name="CampaignTagsTaxHTField0" ma:index="15" nillable="true" ma:taxonomy="true" ma:internalName="CampaignTagsTaxHTField0" ma:taxonomyFieldName="CampaignTags" ma:displayName="Campaigns" ma:readOnly="false" ma:default="" ma:fieldId="{f49aea52-57cf-43e7-ad0f-73ec13c09c94}" ma:taxonomyMulti="true" ma:sspId="8f79753a-75d3-41f5-8ca3-40b843941b4f" ma:termSetId="ca0e50d4-faa1-44ce-961e-bb1441c60e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ClientViewer" ma:index="16" nillable="true" ma:displayName="Client Viewer" ma:default="" ma:internalName="TPClientViewer">
      <xsd:simpleType>
        <xsd:restriction base="dms:Text"/>
      </xsd:simpleType>
    </xsd:element>
    <xsd:element name="ClipArtFilename" ma:index="17" nillable="true" ma:displayName="Clip Art Name" ma:default="" ma:internalName="ClipArtFilename" ma:readOnly="false">
      <xsd:simpleType>
        <xsd:restriction base="dms:Text"/>
      </xsd:simpleType>
    </xsd:element>
    <xsd:element name="TPCommandLine" ma:index="18" nillable="true" ma:displayName="Command Line" ma:default="" ma:internalName="TPCommandLine">
      <xsd:simpleType>
        <xsd:restriction base="dms:Text"/>
      </xsd:simpleType>
    </xsd:element>
    <xsd:element name="TPComponent" ma:index="19" nillable="true" ma:displayName="Component" ma:default="" ma:internalName="TPComponent">
      <xsd:simpleType>
        <xsd:restriction base="dms:Text"/>
      </xsd:simpleType>
    </xsd:element>
    <xsd:element name="ContentItem" ma:index="20" nillable="true" ma:displayName="Content Item" ma:default="" ma:hidden="true" ma:internalName="ContentItem" ma:readOnly="false">
      <xsd:simpleType>
        <xsd:restriction base="dms:Unknown"/>
      </xsd:simpleType>
    </xsd:element>
    <xsd:element name="CrawlForDependencies" ma:index="22" nillable="true" ma:displayName="Crawl for Dependencies?" ma:default="true" ma:internalName="CrawlForDependencies" ma:readOnly="false">
      <xsd:simpleType>
        <xsd:restriction base="dms:Boolean"/>
      </xsd:simpleType>
    </xsd:element>
    <xsd:element name="CSXHash" ma:index="25" nillable="true" ma:displayName="CSX Hash" ma:default="" ma:indexed="true" ma:internalName="CSXHash" ma:readOnly="false">
      <xsd:simpleType>
        <xsd:restriction base="dms:Text"/>
      </xsd:simpleType>
    </xsd:element>
    <xsd:element name="CSXSubmissionMarket" ma:index="26" nillable="true" ma:displayName="CSX Submission Market" ma:default="" ma:list="{97E9BFDD-1396-425A-819C-F21D6585E878}" ma:internalName="CSXSubmissionMarket" ma:readOnly="false" ma:showField="MarketName" ma:web="6e9ea02a-742f-4d68-9828-878561d4a93c">
      <xsd:simpleType>
        <xsd:restriction base="dms:Lookup"/>
      </xsd:simpleType>
    </xsd:element>
    <xsd:element name="CSXUpdate" ma:index="27" nillable="true" ma:displayName="CSX Updated?" ma:default="false" ma:internalName="CSXUpdate" ma:readOnly="false">
      <xsd:simpleType>
        <xsd:restriction base="dms:Boolean"/>
      </xsd:simpleType>
    </xsd:element>
    <xsd:element name="IntlLangReviewDate" ma:index="28" nillable="true" ma:displayName="Date to Complete Intl QA" ma:default="" ma:internalName="IntlLangReviewDate" ma:readOnly="false">
      <xsd:simpleType>
        <xsd:restriction base="dms:DateTime"/>
      </xsd:simpleType>
    </xsd:element>
    <xsd:element name="IsDeleted" ma:index="29" nillable="true" ma:displayName="Deleted?" ma:default="" ma:internalName="IsDeleted" ma:readOnly="false">
      <xsd:simpleType>
        <xsd:restriction base="dms:Boolean"/>
      </xsd:simpleType>
    </xsd:element>
    <xsd:element name="APDescription" ma:index="30" nillable="true" ma:displayName="Description" ma:default="" ma:internalName="APDescription" ma:readOnly="false">
      <xsd:simpleType>
        <xsd:restriction base="dms:Note"/>
      </xsd:simpleType>
    </xsd:element>
    <xsd:element name="DirectSourceMarket" ma:index="31" nillable="true" ma:displayName="Direct Source Market Group" ma:default="" ma:internalName="DirectSourceMarket" ma:readOnly="false">
      <xsd:simpleType>
        <xsd:restriction base="dms:Text"/>
      </xsd:simpleType>
    </xsd:element>
    <xsd:element name="Downloads" ma:index="32" nillable="true" ma:displayName="Downloads" ma:default="0" ma:hidden="true" ma:internalName="Downloads" ma:readOnly="false">
      <xsd:simpleType>
        <xsd:restriction base="dms:Unknown"/>
      </xsd:simpleType>
    </xsd:element>
    <xsd:element name="DSATActionTaken" ma:index="33" nillable="true" ma:displayName="DSAT Action Taken" ma:default="" ma:internalName="DSATActionTaken" ma:readOnly="false">
      <xsd:simpleType>
        <xsd:restriction base="dms:Choice">
          <xsd:enumeration value="Best Bets"/>
          <xsd:enumeration value="Expire"/>
          <xsd:enumeration value="Hide"/>
          <xsd:enumeration value="None"/>
        </xsd:restriction>
      </xsd:simpleType>
    </xsd:element>
    <xsd:element name="APEditor" ma:index="34" nillable="true" ma:displayName="Editor" ma:default="" ma:list="UserInfo" ma:internalName="APEdit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ialStatus" ma:index="35" nillable="true" ma:displayName="Editorial Status" ma:default="" ma:internalName="EditorialStatus" ma:readOnly="false">
      <xsd:simpleType>
        <xsd:restriction base="dms:Unknown"/>
      </xsd:simpleType>
    </xsd:element>
    <xsd:element name="EditorialTags" ma:index="36" nillable="true" ma:displayName="Editorial Tags" ma:default="" ma:internalName="EditorialTags">
      <xsd:simpleType>
        <xsd:restriction base="dms:Unknown"/>
      </xsd:simpleType>
    </xsd:element>
    <xsd:element name="TPExecutable" ma:index="37" nillable="true" ma:displayName="Executable" ma:default="" ma:internalName="TPExecutable">
      <xsd:simpleType>
        <xsd:restriction base="dms:Text"/>
      </xsd:simpleType>
    </xsd:element>
    <xsd:element name="FeatureTagsTaxHTField0" ma:index="39" nillable="true" ma:taxonomy="true" ma:internalName="FeatureTagsTaxHTField0" ma:taxonomyFieldName="FeatureTags" ma:displayName="Features" ma:readOnly="false" ma:default="" ma:fieldId="{42c02ad2-dcd2-4ab7-b59e-0790aa7a8b17}" ma:taxonomyMulti="true" ma:sspId="8f79753a-75d3-41f5-8ca3-40b843941b4f" ma:termSetId="f1ab6845-967d-4854-a0ba-4ec07f0f81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FriendlyName" ma:index="40" nillable="true" ma:displayName="Friendly Name" ma:default="" ma:internalName="TPFriendlyName">
      <xsd:simpleType>
        <xsd:restriction base="dms:Text"/>
      </xsd:simpleType>
    </xsd:element>
    <xsd:element name="FriendlyTitle" ma:index="41" nillable="true" ma:displayName="Friendly Title" ma:default="" ma:description="Shorter title to be used when displaying search results" ma:internalName="FriendlyTitle" ma:readOnly="false">
      <xsd:simpleType>
        <xsd:restriction base="dms:Text"/>
      </xsd:simpleType>
    </xsd:element>
    <xsd:element name="PrimaryImageGen" ma:index="42" nillable="true" ma:displayName="Generate Images?" ma:default="true" ma:internalName="PrimaryImageGen">
      <xsd:simpleType>
        <xsd:restriction base="dms:Boolean"/>
      </xsd:simpleType>
    </xsd:element>
    <xsd:element name="HandoffToMSDN" ma:index="43" nillable="true" ma:displayName="Handoff To MSDN Date" ma:default="" ma:internalName="HandoffToMSDN" ma:readOnly="false">
      <xsd:simpleType>
        <xsd:restriction base="dms:DateTime"/>
      </xsd:simpleType>
    </xsd:element>
    <xsd:element name="InProjectListLookup" ma:index="44" nillable="true" ma:displayName="InProjectListLookup" ma:list="{B6637CC4-9BDF-4FFE-8FBF-4FC2310BA3C9}" ma:internalName="InProjectListLookup" ma:readOnly="true" ma:showField="InProjectList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InstallLocation" ma:index="45" nillable="true" ma:displayName="Install Location" ma:default="" ma:internalName="TPInstallLocation">
      <xsd:simpleType>
        <xsd:restriction base="dms:Text"/>
      </xsd:simpleType>
    </xsd:element>
    <xsd:element name="InternalTagsTaxHTField0" ma:index="47" nillable="true" ma:taxonomy="true" ma:internalName="InternalTagsTaxHTField0" ma:taxonomyFieldName="InternalTags" ma:displayName="Internal Tags" ma:readOnly="false" ma:default="" ma:fieldId="{481df231-2158-47e1-bee4-ea5880ea189b}" ma:taxonomyMulti="true" ma:sspId="8f79753a-75d3-41f5-8ca3-40b843941b4f" ma:termSetId="82b6639e-f7fc-4c18-ad2d-003a6e70776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ntlLangReview" ma:index="48" nillable="true" ma:displayName="Intl Lang QA Review Required?" ma:default="" ma:internalName="IntlLangReview" ma:readOnly="false">
      <xsd:simpleType>
        <xsd:restriction base="dms:Boolean"/>
      </xsd:simpleType>
    </xsd:element>
    <xsd:element name="IntlLangReviewer" ma:index="49" nillable="true" ma:displayName="Intl Lang QA Reviewer" ma:default="" ma:internalName="IntlLangReviewer" ma:readOnly="false">
      <xsd:simpleType>
        <xsd:restriction base="dms:Text"/>
      </xsd:simpleType>
    </xsd:element>
    <xsd:element name="MarketSpecific" ma:index="50" nillable="true" ma:displayName="Is Market Specific?" ma:default="" ma:internalName="MarketSpecific" ma:readOnly="false">
      <xsd:simpleType>
        <xsd:restriction base="dms:Boolean"/>
      </xsd:simpleType>
    </xsd:element>
    <xsd:element name="LastCompleteVersionLookup" ma:index="51" nillable="true" ma:displayName="Last Complete Version Lookup" ma:default="" ma:list="{B6637CC4-9BDF-4FFE-8FBF-4FC2310BA3C9}" ma:internalName="LastCompleteVersionLookup" ma:readOnly="true" ma:showField="LastCompleteVersion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HandOff" ma:index="52" nillable="true" ma:displayName="Last Hand-off" ma:default="" ma:internalName="LastHandOff" ma:readOnly="false">
      <xsd:simpleType>
        <xsd:restriction base="dms:DateTime"/>
      </xsd:simpleType>
    </xsd:element>
    <xsd:element name="LastModifiedDateTime" ma:index="53" nillable="true" ma:displayName="Last Modified Date" ma:default="" ma:internalName="LastModifiedDateTime" ma:readOnly="false">
      <xsd:simpleType>
        <xsd:restriction base="dms:DateTime"/>
      </xsd:simpleType>
    </xsd:element>
    <xsd:element name="LastPreviewErrorLookup" ma:index="54" nillable="true" ma:displayName="Last Preview Attempt Error" ma:default="" ma:list="{B6637CC4-9BDF-4FFE-8FBF-4FC2310BA3C9}" ma:internalName="LastPreviewErrorLookup" ma:readOnly="true" ma:showField="LastPreviewError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ResultLookup" ma:index="55" nillable="true" ma:displayName="Last Preview Attempt Result" ma:default="" ma:list="{B6637CC4-9BDF-4FFE-8FBF-4FC2310BA3C9}" ma:internalName="LastPreviewResultLookup" ma:readOnly="true" ma:showField="LastPreviewResult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AttemptDateLookup" ma:index="56" nillable="true" ma:displayName="Last Preview Attempted On" ma:default="" ma:list="{B6637CC4-9BDF-4FFE-8FBF-4FC2310BA3C9}" ma:internalName="LastPreviewAttemptDateLookup" ma:readOnly="true" ma:showField="LastPreviewAttemptDate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edByLookup" ma:index="57" nillable="true" ma:displayName="Last Previewed By" ma:default="" ma:list="{B6637CC4-9BDF-4FFE-8FBF-4FC2310BA3C9}" ma:internalName="LastPreviewedByLookup" ma:readOnly="true" ma:showField="LastPreviewedBy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TimeLookup" ma:index="58" nillable="true" ma:displayName="Last Previewed Date" ma:default="" ma:list="{B6637CC4-9BDF-4FFE-8FBF-4FC2310BA3C9}" ma:internalName="LastPreviewTimeLookup" ma:readOnly="true" ma:showField="LastPreviewTime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VersionLookup" ma:index="59" nillable="true" ma:displayName="Last Previewed Version" ma:default="" ma:list="{B6637CC4-9BDF-4FFE-8FBF-4FC2310BA3C9}" ma:internalName="LastPreviewVersionLookup" ma:readOnly="true" ma:showField="LastPreviewVersion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rrorLookup" ma:index="60" nillable="true" ma:displayName="Last Publish Attempt Error" ma:default="" ma:list="{B6637CC4-9BDF-4FFE-8FBF-4FC2310BA3C9}" ma:internalName="LastPublishErrorLookup" ma:readOnly="true" ma:showField="LastPublishError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ResultLookup" ma:index="61" nillable="true" ma:displayName="Last Publish Attempt Result" ma:default="" ma:list="{B6637CC4-9BDF-4FFE-8FBF-4FC2310BA3C9}" ma:internalName="LastPublishResultLookup" ma:readOnly="true" ma:showField="LastPublishResult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AttemptDateLookup" ma:index="62" nillable="true" ma:displayName="Last Publish Attempted On" ma:default="" ma:list="{B6637CC4-9BDF-4FFE-8FBF-4FC2310BA3C9}" ma:internalName="LastPublishAttemptDateLookup" ma:readOnly="true" ma:showField="LastPublishAttemptDate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dByLookup" ma:index="63" nillable="true" ma:displayName="Last Published By" ma:default="" ma:list="{B6637CC4-9BDF-4FFE-8FBF-4FC2310BA3C9}" ma:internalName="LastPublishedByLookup" ma:readOnly="true" ma:showField="LastPublishedBy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TimeLookup" ma:index="64" nillable="true" ma:displayName="Last Published Date" ma:default="" ma:list="{B6637CC4-9BDF-4FFE-8FBF-4FC2310BA3C9}" ma:internalName="LastPublishTimeLookup" ma:readOnly="true" ma:showField="LastPublishTime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VersionLookup" ma:index="65" nillable="true" ma:displayName="Last Published Version" ma:default="" ma:list="{B6637CC4-9BDF-4FFE-8FBF-4FC2310BA3C9}" ma:internalName="LastPublishVersionLookup" ma:readOnly="true" ma:showField="LastPublishVersion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LaunchHelpLinkType" ma:index="66" nillable="true" ma:displayName="Launch Help Link Type" ma:default="Template" ma:internalName="TPLaunchHelpLinkType">
      <xsd:simpleType>
        <xsd:restriction base="dms:Choice">
          <xsd:enumeration value="Template"/>
          <xsd:enumeration value="Training"/>
          <xsd:enumeration value="URL"/>
          <xsd:enumeration value="None"/>
        </xsd:restriction>
      </xsd:simpleType>
    </xsd:element>
    <xsd:element name="LegacyData" ma:index="67" nillable="true" ma:displayName="Legacy Data" ma:default="" ma:internalName="LegacyData" ma:readOnly="false">
      <xsd:simpleType>
        <xsd:restriction base="dms:Note"/>
      </xsd:simpleType>
    </xsd:element>
    <xsd:element name="TPLaunchHelpLink" ma:index="68" nillable="true" ma:displayName="Link to Launch Help Topic" ma:default="" ma:internalName="TPLaunchHelpLink">
      <xsd:simpleType>
        <xsd:restriction base="dms:Text"/>
      </xsd:simpleType>
    </xsd:element>
    <xsd:element name="LocComments" ma:index="69" nillable="true" ma:displayName="Loc Approval Comments" ma:default="" ma:internalName="LocComments" ma:readOnly="false">
      <xsd:simpleType>
        <xsd:restriction base="dms:Note"/>
      </xsd:simpleType>
    </xsd:element>
    <xsd:element name="LocLastLocAttemptVersionLookup" ma:index="70" nillable="true" ma:displayName="Loc Last Loc Attempt Version" ma:default="" ma:list="{622F070B-DDF0-482B-8229-151EA03F1CC6}" ma:internalName="LocLastLocAttemptVersionLookup" ma:readOnly="false" ma:showField="LastLocAttemptVersion" ma:web="6e9ea02a-742f-4d68-9828-878561d4a93c">
      <xsd:simpleType>
        <xsd:restriction base="dms:Lookup"/>
      </xsd:simpleType>
    </xsd:element>
    <xsd:element name="LocLastLocAttemptVersionTypeLookup" ma:index="71" nillable="true" ma:displayName="Loc Last Loc Attempt Version Type" ma:default="" ma:list="{622F070B-DDF0-482B-8229-151EA03F1CC6}" ma:internalName="LocLastLocAttemptVersionTypeLookup" ma:readOnly="true" ma:showField="LastLocAttemptVersionType" ma:web="6e9ea02a-742f-4d68-9828-878561d4a93c">
      <xsd:simpleType>
        <xsd:restriction base="dms:Lookup"/>
      </xsd:simpleType>
    </xsd:element>
    <xsd:element name="LocManualTestRequired" ma:index="72" nillable="true" ma:displayName="Loc Manual Test Required" ma:default="" ma:internalName="LocManualTestRequired" ma:readOnly="false">
      <xsd:simpleType>
        <xsd:restriction base="dms:Boolean"/>
      </xsd:simpleType>
    </xsd:element>
    <xsd:element name="LocMarketGroupTiers2" ma:index="73" nillable="true" ma:displayName="Loc Market Group Tiers" ma:internalName="LocMarketGroupTiers2" ma:readOnly="false">
      <xsd:simpleType>
        <xsd:restriction base="dms:Unknown"/>
      </xsd:simpleType>
    </xsd:element>
    <xsd:element name="LocNewPublishedVersionLookup" ma:index="74" nillable="true" ma:displayName="Loc New Published Version Lookup" ma:default="" ma:list="{622F070B-DDF0-482B-8229-151EA03F1CC6}" ma:internalName="LocNewPublishedVersionLookup" ma:readOnly="true" ma:showField="NewPublishedVersion" ma:web="6e9ea02a-742f-4d68-9828-878561d4a93c">
      <xsd:simpleType>
        <xsd:restriction base="dms:Lookup"/>
      </xsd:simpleType>
    </xsd:element>
    <xsd:element name="LocOverallHandbackStatusLookup" ma:index="75" nillable="true" ma:displayName="Loc Overall Handback Status" ma:default="" ma:list="{622F070B-DDF0-482B-8229-151EA03F1CC6}" ma:internalName="LocOverallHandbackStatusLookup" ma:readOnly="true" ma:showField="OverallHandbackStatus" ma:web="6e9ea02a-742f-4d68-9828-878561d4a93c">
      <xsd:simpleType>
        <xsd:restriction base="dms:Lookup"/>
      </xsd:simpleType>
    </xsd:element>
    <xsd:element name="LocOverallLocStatusLookup" ma:index="76" nillable="true" ma:displayName="Loc Overall Localize Status" ma:default="" ma:list="{622F070B-DDF0-482B-8229-151EA03F1CC6}" ma:internalName="LocOverallLocStatusLookup" ma:readOnly="true" ma:showField="OverallLocStatus" ma:web="6e9ea02a-742f-4d68-9828-878561d4a93c">
      <xsd:simpleType>
        <xsd:restriction base="dms:Lookup"/>
      </xsd:simpleType>
    </xsd:element>
    <xsd:element name="LocOverallPreviewStatusLookup" ma:index="77" nillable="true" ma:displayName="Loc Overall Preview Status" ma:default="" ma:list="{622F070B-DDF0-482B-8229-151EA03F1CC6}" ma:internalName="LocOverallPreviewStatusLookup" ma:readOnly="true" ma:showField="OverallPreviewStatus" ma:web="6e9ea02a-742f-4d68-9828-878561d4a93c">
      <xsd:simpleType>
        <xsd:restriction base="dms:Lookup"/>
      </xsd:simpleType>
    </xsd:element>
    <xsd:element name="LocOverallPublishStatusLookup" ma:index="78" nillable="true" ma:displayName="Loc Overall Publish Status" ma:default="" ma:list="{622F070B-DDF0-482B-8229-151EA03F1CC6}" ma:internalName="LocOverallPublishStatusLookup" ma:readOnly="true" ma:showField="OverallPublishStatus" ma:web="6e9ea02a-742f-4d68-9828-878561d4a93c">
      <xsd:simpleType>
        <xsd:restriction base="dms:Lookup"/>
      </xsd:simpleType>
    </xsd:element>
    <xsd:element name="IntlLocPriority" ma:index="79" nillable="true" ma:displayName="Loc Priority" ma:default="" ma:internalName="IntlLocPriority" ma:readOnly="false">
      <xsd:simpleType>
        <xsd:restriction base="dms:Unknown"/>
      </xsd:simpleType>
    </xsd:element>
    <xsd:element name="LocProcessedForHandoffsLookup" ma:index="80" nillable="true" ma:displayName="Loc Processed For Handoffs" ma:default="" ma:list="{622F070B-DDF0-482B-8229-151EA03F1CC6}" ma:internalName="LocProcessedForHandoffsLookup" ma:readOnly="true" ma:showField="ProcessedForHandoffs" ma:web="6e9ea02a-742f-4d68-9828-878561d4a93c">
      <xsd:simpleType>
        <xsd:restriction base="dms:Lookup"/>
      </xsd:simpleType>
    </xsd:element>
    <xsd:element name="LocProcessedForMarketsLookup" ma:index="81" nillable="true" ma:displayName="Loc Processed For Markets" ma:default="" ma:list="{622F070B-DDF0-482B-8229-151EA03F1CC6}" ma:internalName="LocProcessedForMarketsLookup" ma:readOnly="true" ma:showField="ProcessedForMarkets" ma:web="6e9ea02a-742f-4d68-9828-878561d4a93c">
      <xsd:simpleType>
        <xsd:restriction base="dms:Lookup"/>
      </xsd:simpleType>
    </xsd:element>
    <xsd:element name="LocPublishedDependentAssetsLookup" ma:index="82" nillable="true" ma:displayName="Loc Published Dependent Assets" ma:default="" ma:list="{622F070B-DDF0-482B-8229-151EA03F1CC6}" ma:internalName="LocPublishedDependentAssetsLookup" ma:readOnly="true" ma:showField="PublishedDependentAssets" ma:web="6e9ea02a-742f-4d68-9828-878561d4a93c">
      <xsd:simpleType>
        <xsd:restriction base="dms:Lookup"/>
      </xsd:simpleType>
    </xsd:element>
    <xsd:element name="LocPublishedLinkedAssetsLookup" ma:index="83" nillable="true" ma:displayName="Loc Published Linked Assets" ma:default="" ma:list="{622F070B-DDF0-482B-8229-151EA03F1CC6}" ma:internalName="LocPublishedLinkedAssetsLookup" ma:readOnly="true" ma:showField="PublishedLinkedAssets" ma:web="6e9ea02a-742f-4d68-9828-878561d4a93c">
      <xsd:simpleType>
        <xsd:restriction base="dms:Lookup"/>
      </xsd:simpleType>
    </xsd:element>
    <xsd:element name="LocRecommendedHandoff" ma:index="84" nillable="true" ma:displayName="Loc Recommended Handoff" ma:default="" ma:indexed="true" ma:internalName="LocRecommendedHandoff" ma:readOnly="false">
      <xsd:simpleType>
        <xsd:restriction base="dms:Text"/>
      </xsd:simpleType>
    </xsd:element>
    <xsd:element name="LocalizationTagsTaxHTField0" ma:index="86" nillable="true" ma:taxonomy="true" ma:internalName="LocalizationTagsTaxHTField0" ma:taxonomyFieldName="LocalizationTags" ma:displayName="Localization Tags" ma:readOnly="false" ma:default="" ma:fieldId="{beb7c97e-5beb-4bf0-a64a-0521b62690fb}" ma:taxonomyMulti="true" ma:sspId="8f79753a-75d3-41f5-8ca3-40b843941b4f" ma:termSetId="5b7703a5-8e8b-4b58-8b31-1cea35331d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achineTranslated" ma:index="87" nillable="true" ma:displayName="Machine Translated" ma:default="" ma:internalName="MachineTranslated" ma:readOnly="false">
      <xsd:simpleType>
        <xsd:restriction base="dms:Boolean"/>
      </xsd:simpleType>
    </xsd:element>
    <xsd:element name="Manager" ma:index="88" nillable="true" ma:displayName="Manager" ma:hidden="true" ma:internalName="Manager" ma:readOnly="false">
      <xsd:simpleType>
        <xsd:restriction base="dms:Text"/>
      </xsd:simpleType>
    </xsd:element>
    <xsd:element name="Markets" ma:index="89" nillable="true" ma:displayName="Markets" ma:default="" ma:description="Leave blank to show in all markets" ma:list="{97E9BFDD-1396-425A-819C-F21D6585E878}" ma:internalName="Markets" ma:readOnly="false" ma:showField="MarketName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lestone" ma:index="90" nillable="true" ma:displayName="Milestone" ma:default="" ma:internalName="Milestone" ma:readOnly="false">
      <xsd:simpleType>
        <xsd:restriction base="dms:Unknown"/>
      </xsd:simpleType>
    </xsd:element>
    <xsd:element name="TPNamespace" ma:index="93" nillable="true" ma:displayName="Namespace" ma:default="" ma:internalName="TPNamespace">
      <xsd:simpleType>
        <xsd:restriction base="dms:Text"/>
      </xsd:simpleType>
    </xsd:element>
    <xsd:element name="NumericId" ma:index="94" nillable="true" ma:displayName="Numeric ID" ma:default="" ma:indexed="true" ma:internalName="NumericId" ma:readOnly="false">
      <xsd:simpleType>
        <xsd:restriction base="dms:Number"/>
      </xsd:simpleType>
    </xsd:element>
    <xsd:element name="NumOfRatingsLookup" ma:index="95" nillable="true" ma:displayName="NumOfRatings" ma:default="" ma:list="{B6637CC4-9BDF-4FFE-8FBF-4FC2310BA3C9}" ma:internalName="NumOfRatingsLookup" ma:readOnly="true" ma:showField="NumOfRatings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OCacheId" ma:index="96" nillable="true" ma:displayName="OOCacheId" ma:internalName="OOCacheId" ma:readOnly="false">
      <xsd:simpleType>
        <xsd:restriction base="dms:Text"/>
      </xsd:simpleType>
    </xsd:element>
    <xsd:element name="OpenTemplate" ma:index="97" nillable="true" ma:displayName="Open Template" ma:default="true" ma:internalName="OpenTemplate">
      <xsd:simpleType>
        <xsd:restriction base="dms:Boolean"/>
      </xsd:simpleType>
    </xsd:element>
    <xsd:element name="OriginAsset" ma:index="98" nillable="true" ma:displayName="Origin Asset" ma:default="" ma:internalName="OriginAsset" ma:readOnly="false">
      <xsd:simpleType>
        <xsd:restriction base="dms:Text"/>
      </xsd:simpleType>
    </xsd:element>
    <xsd:element name="OriginalRelease" ma:index="99" nillable="true" ma:displayName="Original Release" ma:default="15" ma:internalName="OriginalRelease" ma:readOnly="false">
      <xsd:simpleType>
        <xsd:restriction base="dms:Choice">
          <xsd:enumeration value="14"/>
          <xsd:enumeration value="15"/>
          <xsd:enumeration value="16"/>
        </xsd:restriction>
      </xsd:simpleType>
    </xsd:element>
    <xsd:element name="OriginalSourceMarket" ma:index="100" nillable="true" ma:displayName="Original Source Market Group" ma:default="" ma:internalName="OriginalSourceMarket" ma:readOnly="false">
      <xsd:simpleType>
        <xsd:restriction base="dms:Text"/>
      </xsd:simpleType>
    </xsd:element>
    <xsd:element name="OutputCachingOn" ma:index="101" nillable="true" ma:displayName="Output Caching" ma:default="true" ma:hidden="true" ma:internalName="OutputCachingOn" ma:readOnly="false">
      <xsd:simpleType>
        <xsd:restriction base="dms:Boolean"/>
      </xsd:simpleType>
    </xsd:element>
    <xsd:element name="ParentAssetId" ma:index="102" nillable="true" ma:displayName="Parent Asset Id" ma:default="" ma:internalName="ParentAssetId" ma:readOnly="false">
      <xsd:simpleType>
        <xsd:restriction base="dms:Text"/>
      </xsd:simpleType>
    </xsd:element>
    <xsd:element name="PlannedPubDate" ma:index="103" nillable="true" ma:displayName="Planned Publish Date" ma:default="" ma:indexed="true" ma:internalName="PlannedPubDate" ma:readOnly="false">
      <xsd:simpleType>
        <xsd:restriction base="dms:DateTime"/>
      </xsd:simpleType>
    </xsd:element>
    <xsd:element name="PolicheckWords" ma:index="104" nillable="true" ma:displayName="Policheck Words" ma:default="" ma:internalName="PolicheckWords" ma:readOnly="false">
      <xsd:simpleType>
        <xsd:restriction base="dms:Text"/>
      </xsd:simpleType>
    </xsd:element>
    <xsd:element name="BusinessGroup" ma:index="105" nillable="true" ma:displayName="Product Division Owner" ma:default="" ma:internalName="BusinessGroup" ma:readOnly="false">
      <xsd:simpleType>
        <xsd:restriction base="dms:Unknown"/>
      </xsd:simpleType>
    </xsd:element>
    <xsd:element name="UAProjectedTotalWords" ma:index="106" nillable="true" ma:displayName="Projected Word Count" ma:default="" ma:internalName="UAProjectedTotalWords" ma:readOnly="false">
      <xsd:simpleType>
        <xsd:restriction base="dms:Unknown"/>
      </xsd:simpleType>
    </xsd:element>
    <xsd:element name="Provider" ma:index="107" nillable="true" ma:displayName="Provider" ma:default="" ma:internalName="Provider" ma:readOnly="false">
      <xsd:simpleType>
        <xsd:restriction base="dms:Unknown"/>
      </xsd:simpleType>
    </xsd:element>
    <xsd:element name="Providers" ma:index="108" nillable="true" ma:displayName="Providers" ma:default="" ma:internalName="Providers">
      <xsd:simpleType>
        <xsd:restriction base="dms:Unknown"/>
      </xsd:simpleType>
    </xsd:element>
    <xsd:element name="PublishStatusLookup" ma:index="109" nillable="true" ma:displayName="Publish Status" ma:default="" ma:list="{B6637CC4-9BDF-4FFE-8FBF-4FC2310BA3C9}" ma:internalName="PublishStatusLookup" ma:readOnly="false" ma:showField="PublishStatus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ublishTargets" ma:index="110" nillable="true" ma:displayName="Publish Target" ma:default="OfficeOnlineVNext" ma:internalName="PublishTargets" ma:readOnly="false">
      <xsd:simpleType>
        <xsd:restriction base="dms:Unknown"/>
      </xsd:simpleType>
    </xsd:element>
    <xsd:element name="RecommendationsModifier" ma:index="111" nillable="true" ma:displayName="Recommendations Modifier" ma:default="" ma:internalName="RecommendationsModifier" ma:readOnly="false">
      <xsd:simpleType>
        <xsd:restriction base="dms:Number"/>
      </xsd:simpleType>
    </xsd:element>
    <xsd:element name="ArtSampleDocs" ma:index="112" nillable="true" ma:displayName="Sample Docs" ma:default="" ma:hidden="true" ma:internalName="ArtSampleDocs" ma:readOnly="false">
      <xsd:simpleType>
        <xsd:restriction base="dms:Text"/>
      </xsd:simpleType>
    </xsd:element>
    <xsd:element name="ScenarioTagsTaxHTField0" ma:index="114" nillable="true" ma:taxonomy="true" ma:internalName="ScenarioTagsTaxHTField0" ma:taxonomyFieldName="ScenarioTags" ma:displayName="Scenarios" ma:readOnly="false" ma:default="" ma:fieldId="{2b17064f-d481-4d1f-8972-3daed425d45b}" ma:taxonomyMulti="true" ma:sspId="8f79753a-75d3-41f5-8ca3-40b843941b4f" ma:termSetId="4b7d5f16-e2f2-4fc0-bab3-6e8b931e57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owIn" ma:index="116" nillable="true" ma:displayName="Show In" ma:default="Show everywhere" ma:internalName="ShowIn" ma:readOnly="false">
      <xsd:simpleType>
        <xsd:restriction base="dms:Choice">
          <xsd:enumeration value="Hide on web"/>
          <xsd:enumeration value="On Web no search"/>
          <xsd:enumeration value="Show everywhere"/>
          <xsd:enumeration value="Special use only"/>
        </xsd:restriction>
      </xsd:simpleType>
    </xsd:element>
    <xsd:element name="SourceTitle" ma:index="117" nillable="true" ma:displayName="Source Title" ma:default="" ma:indexed="true" ma:internalName="SourceTitle" ma:readOnly="false">
      <xsd:simpleType>
        <xsd:restriction base="dms:Text"/>
      </xsd:simpleType>
    </xsd:element>
    <xsd:element name="CSXSubmissionDate" ma:index="118" nillable="true" ma:displayName="Submission Date" ma:default="" ma:internalName="CSXSubmissionDate" ma:readOnly="false">
      <xsd:simpleType>
        <xsd:restriction base="dms:DateTime"/>
      </xsd:simpleType>
    </xsd:element>
    <xsd:element name="SubmitterId" ma:index="119" nillable="true" ma:displayName="Submitter ID" ma:default="" ma:internalName="SubmitterId" ma:readOnly="false">
      <xsd:simpleType>
        <xsd:restriction base="dms:Text"/>
      </xsd:simpleType>
    </xsd:element>
    <xsd:element name="TaxCatchAll" ma:index="120" nillable="true" ma:displayName="Taxonomy Catch All Column" ma:hidden="true" ma:list="{cf79a0c3-d835-43ca-aa56-b38f2035bf82}" ma:internalName="TaxCatchAll" ma:showField="CatchAllData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1" nillable="true" ma:displayName="Taxonomy Catch All Column1" ma:hidden="true" ma:list="{cf79a0c3-d835-43ca-aa56-b38f2035bf82}" ma:internalName="TaxCatchAllLabel" ma:readOnly="true" ma:showField="CatchAllDataLabel" ma:web="6e9ea02a-742f-4d68-9828-878561d4a9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emplateStatus" ma:index="122" nillable="true" ma:displayName="Template Status" ma:default="" ma:internalName="TemplateStatus">
      <xsd:simpleType>
        <xsd:restriction base="dms:Unknown"/>
      </xsd:simpleType>
    </xsd:element>
    <xsd:element name="TemplateTemplateType" ma:index="123" nillable="true" ma:displayName="Template Type" ma:default="" ma:internalName="TemplateTemplateType">
      <xsd:simpleType>
        <xsd:restriction base="dms:Unknown"/>
      </xsd:simpleType>
    </xsd:element>
    <xsd:element name="ThumbnailAssetId" ma:index="124" nillable="true" ma:displayName="Thumbnail Image Asset" ma:default="" ma:internalName="ThumbnailAssetId" ma:readOnly="false">
      <xsd:simpleType>
        <xsd:restriction base="dms:Text"/>
      </xsd:simpleType>
    </xsd:element>
    <xsd:element name="TimesCloned" ma:index="125" nillable="true" ma:displayName="Times Cloned" ma:default="" ma:internalName="TimesCloned" ma:readOnly="false">
      <xsd:simpleType>
        <xsd:restriction base="dms:Number"/>
      </xsd:simpleType>
    </xsd:element>
    <xsd:element name="TrustLevel" ma:index="127" nillable="true" ma:displayName="Trust Level" ma:default="1 Microsoft Managed Content" ma:internalName="TrustLevel" ma:readOnly="false">
      <xsd:simpleType>
        <xsd:restriction base="dms:Unknown"/>
      </xsd:simpleType>
    </xsd:element>
    <xsd:element name="UALocComments" ma:index="128" nillable="true" ma:displayName="UA Loc Comments" ma:default="" ma:internalName="UALocComments" ma:readOnly="false">
      <xsd:simpleType>
        <xsd:restriction base="dms:Note"/>
      </xsd:simpleType>
    </xsd:element>
    <xsd:element name="UALocRecommendation" ma:index="129" nillable="true" ma:displayName="UA Loc Recommendation" ma:default="Localize" ma:internalName="UALocRecommendation" ma:readOnly="false">
      <xsd:simpleType>
        <xsd:restriction base="dms:Choice">
          <xsd:enumeration value="Localize"/>
          <xsd:enumeration value="Never Localize"/>
          <xsd:enumeration value="Priority Localize"/>
        </xsd:restriction>
      </xsd:simpleType>
    </xsd:element>
    <xsd:element name="UANotes" ma:index="130" nillable="true" ma:displayName="UA Notes" ma:default="" ma:internalName="UANotes" ma:readOnly="false">
      <xsd:simpleType>
        <xsd:restriction base="dms:Note"/>
      </xsd:simpleType>
    </xsd:element>
    <xsd:element name="TPAppVersion" ma:index="131" nillable="true" ma:displayName="Version" ma:default="" ma:internalName="TPAppVersion">
      <xsd:simpleType>
        <xsd:restriction base="dms:Text"/>
      </xsd:simpleType>
    </xsd:element>
    <xsd:element name="VoteCount" ma:index="132" nillable="true" ma:displayName="Vote Count" ma:default="" ma:internalName="VoteCount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1" ma:displayName="Content Type"/>
        <xsd:element ref="dc:title" minOccurs="0" maxOccurs="1" ma:index="126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3E0B03-3C0B-4CFD-B845-625A9F95FDA1}">
  <ds:schemaRefs>
    <ds:schemaRef ds:uri="http://schemas.microsoft.com/office/2006/metadata/properties"/>
    <ds:schemaRef ds:uri="http://schemas.microsoft.com/office/infopath/2007/PartnerControls"/>
    <ds:schemaRef ds:uri="6e9ea02a-742f-4d68-9828-878561d4a93c"/>
  </ds:schemaRefs>
</ds:datastoreItem>
</file>

<file path=customXml/itemProps2.xml><?xml version="1.0" encoding="utf-8"?>
<ds:datastoreItem xmlns:ds="http://schemas.openxmlformats.org/officeDocument/2006/customXml" ds:itemID="{484A6592-B3DF-4E49-A978-FDD19C943EF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1957D15-B2B6-4199-A6F6-7100198225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9ea02a-742f-4d68-9828-878561d4a9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4</vt:i4>
      </vt:variant>
    </vt:vector>
  </HeadingPairs>
  <TitlesOfParts>
    <vt:vector size="9" baseType="lpstr">
      <vt:lpstr>דוח מסכם</vt:lpstr>
      <vt:lpstr>תחזית תזרים מזומנים</vt:lpstr>
      <vt:lpstr>תזרים מזומנים בפועל</vt:lpstr>
      <vt:lpstr>קלט תנועות תשלום</vt:lpstr>
      <vt:lpstr>קלט תנועות תקבול</vt:lpstr>
      <vt:lpstr>'תזרים מזומנים בפועל'!FiscalYearStartDate</vt:lpstr>
      <vt:lpstr>'תחזית תזרים מזומנים'!FiscalYearStartDate</vt:lpstr>
      <vt:lpstr>'תזרים מזומנים בפועל'!WPrint_Area_W</vt:lpstr>
      <vt:lpstr>'תחזית תזרים מזומנים'!WPrint_Area_W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2012-07-26T18:07:35Z</dcterms:created>
  <dcterms:modified xsi:type="dcterms:W3CDTF">2020-05-31T16:16:14Z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0x010100DEBB3141636B894099107E6745BE213F04000498BE45EB900B4AB4820FEB2B334769</vt:lpwstr>
  </property>
  <property fmtid="{D5CDD505-2E9C-101B-9397-08002B2CF9AE}" pid="3" name="InternalTags">
    <vt:lpwstr/>
  </property>
  <property fmtid="{D5CDD505-2E9C-101B-9397-08002B2CF9AE}" pid="4" name="FeatureTags">
    <vt:lpwstr/>
  </property>
  <property fmtid="{D5CDD505-2E9C-101B-9397-08002B2CF9AE}" pid="5" name="LocalizationTags">
    <vt:lpwstr/>
  </property>
  <property fmtid="{D5CDD505-2E9C-101B-9397-08002B2CF9AE}" pid="6" name="ScenarioTags">
    <vt:lpwstr/>
  </property>
  <property fmtid="{D5CDD505-2E9C-101B-9397-08002B2CF9AE}" pid="7" name="CampaignTags">
    <vt:lpwstr/>
  </property>
  <property fmtid="{D5CDD505-2E9C-101B-9397-08002B2CF9AE}" pid="8" name="HiddenCategoryTags">
    <vt:lpwstr/>
  </property>
  <property fmtid="{D5CDD505-2E9C-101B-9397-08002B2CF9AE}" pid="9" name="CategoryTags">
    <vt:lpwstr/>
  </property>
  <property fmtid="{D5CDD505-2E9C-101B-9397-08002B2CF9AE}" pid="10" name="LocMarketGroupTiers">
    <vt:lpwstr/>
  </property>
  <property fmtid="{D5CDD505-2E9C-101B-9397-08002B2CF9AE}" pid="11" name="CategoryTagsTaxHTField0">
    <vt:lpwstr/>
  </property>
  <property fmtid="{D5CDD505-2E9C-101B-9397-08002B2CF9AE}" pid="12" name="HiddenCategoryTagsTaxHTField0">
    <vt:lpwstr/>
  </property>
</Properties>
</file>